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rstredocesky-my.sharepoint.com/personal/orsulova_kr-s_cz/Documents/Plocha/ZK 1. 12. 2025/Přílohy k zápisu/"/>
    </mc:Choice>
  </mc:AlternateContent>
  <xr:revisionPtr revIDLastSave="89" documentId="13_ncr:1_{350FAC8D-6B52-4511-8B93-264117008A02}" xr6:coauthVersionLast="47" xr6:coauthVersionMax="47" xr10:uidLastSave="{C8842BBF-792A-401D-AF82-6948405A517D}"/>
  <bookViews>
    <workbookView xWindow="-108" yWindow="-108" windowWidth="23256" windowHeight="12456" firstSheet="19" activeTab="33" xr2:uid="{F695A653-73AF-4163-8181-378FB333DDE8}"/>
  </bookViews>
  <sheets>
    <sheet name="Úvodní strana" sheetId="135" r:id="rId1"/>
    <sheet name="Bilance" sheetId="12" r:id="rId2"/>
    <sheet name="Sumář příjmů a výdajů" sheetId="47" r:id="rId3"/>
    <sheet name="Fondy" sheetId="2" r:id="rId4"/>
    <sheet name="Projekty EU a NZ" sheetId="140" r:id="rId5"/>
    <sheet name="Dluhová služba " sheetId="16" r:id="rId6"/>
    <sheet name="Kapitálové výdaje " sheetId="80" r:id="rId7"/>
    <sheet name="Kapitálové výdaje v kapitolách" sheetId="144" r:id="rId8"/>
    <sheet name="Specifické rezervy" sheetId="136" r:id="rId9"/>
    <sheet name="Příspěvky PO" sheetId="134" r:id="rId10"/>
    <sheet name="Běžné výdaje kapitol" sheetId="4" r:id="rId11"/>
    <sheet name="01" sheetId="120" r:id="rId12"/>
    <sheet name="02" sheetId="113" r:id="rId13"/>
    <sheet name="03" sheetId="112" r:id="rId14"/>
    <sheet name="04" sheetId="126" r:id="rId15"/>
    <sheet name="05" sheetId="130" r:id="rId16"/>
    <sheet name="06" sheetId="127" r:id="rId17"/>
    <sheet name="07" sheetId="114" r:id="rId18"/>
    <sheet name="08" sheetId="133" r:id="rId19"/>
    <sheet name="09" sheetId="110" r:id="rId20"/>
    <sheet name="10" sheetId="118" r:id="rId21"/>
    <sheet name="11" sheetId="109" r:id="rId22"/>
    <sheet name="13" sheetId="125" r:id="rId23"/>
    <sheet name="14" sheetId="138" r:id="rId24"/>
    <sheet name="15" sheetId="115" r:id="rId25"/>
    <sheet name="16" sheetId="145" r:id="rId26"/>
    <sheet name="17" sheetId="131" r:id="rId27"/>
    <sheet name="18" sheetId="119" r:id="rId28"/>
    <sheet name="23" sheetId="121" r:id="rId29"/>
    <sheet name="24" sheetId="137" r:id="rId30"/>
    <sheet name="25" sheetId="117" r:id="rId31"/>
    <sheet name="26" sheetId="142" r:id="rId32"/>
    <sheet name="27" sheetId="141" r:id="rId33"/>
    <sheet name="Kapitoly - shrnutí BV" sheetId="81" r:id="rId34"/>
  </sheets>
  <definedNames>
    <definedName name="_xlnm._FilterDatabase" localSheetId="15" hidden="1">'05'!$A$4:$K$115</definedName>
    <definedName name="_xlnm._FilterDatabase" localSheetId="26" hidden="1">'17'!#REF!</definedName>
    <definedName name="_Hlk523909286" localSheetId="18">'08'!#REF!</definedName>
    <definedName name="_xlnm.Print_Titles" localSheetId="15">'05'!$5:$7</definedName>
    <definedName name="_xlnm.Print_Titles" localSheetId="16">'06'!$5:$7</definedName>
    <definedName name="_xlnm.Print_Titles" localSheetId="18">'08'!$6:$7</definedName>
    <definedName name="_xlnm.Print_Titles" localSheetId="19">'09'!$6:$7</definedName>
    <definedName name="_xlnm.Print_Titles" localSheetId="21">'11'!$5:$7</definedName>
    <definedName name="_xlnm.Print_Titles" localSheetId="22">'13'!$5:$7</definedName>
    <definedName name="_xlnm.Print_Titles" localSheetId="26">'17'!$5:$7</definedName>
    <definedName name="_xlnm.Print_Titles" localSheetId="31">'26'!$6:$7</definedName>
    <definedName name="_xlnm.Print_Titles" localSheetId="9">'Příspěvky PO'!$2:$4</definedName>
    <definedName name="_xlnm.Print_Titles" localSheetId="2">'Sumář příjmů a výdajů'!$2:$8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12" l="1"/>
  <c r="E29" i="12"/>
  <c r="B28" i="12"/>
  <c r="C28" i="12"/>
  <c r="D28" i="12"/>
  <c r="E28" i="12"/>
  <c r="H90" i="47" l="1"/>
  <c r="H97" i="47"/>
  <c r="H95" i="47"/>
  <c r="H93" i="47"/>
  <c r="H92" i="47"/>
  <c r="H91" i="47"/>
  <c r="I68" i="140"/>
  <c r="H68" i="140"/>
  <c r="G68" i="140"/>
  <c r="E68" i="140"/>
  <c r="F68" i="140"/>
  <c r="D68" i="140"/>
  <c r="C68" i="140"/>
  <c r="B68" i="140"/>
  <c r="I17" i="80"/>
  <c r="I18" i="80"/>
  <c r="C47" i="134"/>
  <c r="B47" i="134"/>
  <c r="O18" i="81"/>
  <c r="L14" i="81" l="1"/>
  <c r="K14" i="81"/>
  <c r="J14" i="81"/>
  <c r="K21" i="133" l="1"/>
  <c r="K10" i="133"/>
  <c r="G45" i="134"/>
  <c r="F45" i="134"/>
  <c r="K12" i="110" l="1"/>
  <c r="K30" i="110"/>
  <c r="K20" i="133"/>
  <c r="J29" i="127"/>
  <c r="D45" i="134"/>
  <c r="G19" i="47"/>
  <c r="H11" i="145"/>
  <c r="H27" i="80" l="1"/>
  <c r="K10" i="142"/>
  <c r="K19" i="117"/>
  <c r="K29" i="109"/>
  <c r="K28" i="109"/>
  <c r="F77" i="47"/>
  <c r="E77" i="47"/>
  <c r="F75" i="47"/>
  <c r="E75" i="47"/>
  <c r="F38" i="47" l="1"/>
  <c r="F21" i="12" l="1"/>
  <c r="F59" i="127" l="1"/>
  <c r="G59" i="127"/>
  <c r="H59" i="127"/>
  <c r="I59" i="127"/>
  <c r="E59" i="127"/>
  <c r="I23" i="117"/>
  <c r="G76" i="130"/>
  <c r="E34" i="134" s="1"/>
  <c r="H76" i="130"/>
  <c r="F34" i="134" s="1"/>
  <c r="I76" i="130"/>
  <c r="G34" i="134" s="1"/>
  <c r="F76" i="130"/>
  <c r="D34" i="134" s="1"/>
  <c r="E38" i="47" l="1"/>
  <c r="F70" i="47"/>
  <c r="E70" i="47"/>
  <c r="F59" i="47"/>
  <c r="E59" i="47"/>
  <c r="F54" i="47"/>
  <c r="E54" i="47"/>
  <c r="F53" i="47"/>
  <c r="E53" i="47"/>
  <c r="F52" i="47"/>
  <c r="E52" i="47"/>
  <c r="F29" i="47"/>
  <c r="E29" i="47"/>
  <c r="H22" i="120"/>
  <c r="G22" i="120"/>
  <c r="K13" i="120"/>
  <c r="K83" i="130"/>
  <c r="H11" i="138" l="1"/>
  <c r="G92" i="131"/>
  <c r="G48" i="47" l="1"/>
  <c r="H27" i="2"/>
  <c r="I12" i="126"/>
  <c r="I9" i="113" l="1"/>
  <c r="I24" i="113" s="1"/>
  <c r="I22" i="120"/>
  <c r="G11" i="145"/>
  <c r="F11" i="145"/>
  <c r="E11" i="145"/>
  <c r="D11" i="145"/>
  <c r="C11" i="145"/>
  <c r="B45" i="134" l="1"/>
  <c r="C45" i="134"/>
  <c r="E45" i="134"/>
  <c r="K22" i="133" l="1"/>
  <c r="J19" i="126"/>
  <c r="J11" i="120"/>
  <c r="K11" i="120"/>
  <c r="K20" i="120"/>
  <c r="J21" i="120"/>
  <c r="E32" i="110" l="1"/>
  <c r="H15" i="47" l="1"/>
  <c r="D12" i="136"/>
  <c r="G64" i="47" s="1"/>
  <c r="E38" i="134" l="1"/>
  <c r="K25" i="81"/>
  <c r="O13" i="81" l="1"/>
  <c r="P13" i="81"/>
  <c r="N13" i="81"/>
  <c r="F27" i="12"/>
  <c r="E19" i="110" l="1"/>
  <c r="J12" i="141" l="1"/>
  <c r="K12" i="117"/>
  <c r="K21" i="117"/>
  <c r="H23" i="117"/>
  <c r="G23" i="117"/>
  <c r="F23" i="117"/>
  <c r="E23" i="117"/>
  <c r="D23" i="117"/>
  <c r="K10" i="117"/>
  <c r="J10" i="117"/>
  <c r="J20" i="110"/>
  <c r="K20" i="110"/>
  <c r="G31" i="110" l="1"/>
  <c r="K26" i="110"/>
  <c r="K23" i="110"/>
  <c r="K24" i="110"/>
  <c r="K25" i="110"/>
  <c r="F9" i="80"/>
  <c r="G9" i="80"/>
  <c r="J10" i="127" l="1"/>
  <c r="K10" i="127"/>
  <c r="E70" i="127"/>
  <c r="F70" i="127"/>
  <c r="G70" i="127"/>
  <c r="H70" i="127"/>
  <c r="I70" i="127"/>
  <c r="D70" i="127"/>
  <c r="E43" i="127"/>
  <c r="F43" i="127"/>
  <c r="G43" i="127"/>
  <c r="H43" i="127"/>
  <c r="I43" i="127"/>
  <c r="D43" i="127"/>
  <c r="E22" i="127"/>
  <c r="F22" i="127"/>
  <c r="G22" i="127"/>
  <c r="H22" i="127"/>
  <c r="I22" i="127"/>
  <c r="D22" i="127"/>
  <c r="J25" i="127"/>
  <c r="K25" i="127"/>
  <c r="E15" i="127"/>
  <c r="F15" i="127"/>
  <c r="G15" i="127"/>
  <c r="H15" i="127"/>
  <c r="I15" i="127"/>
  <c r="D15" i="127"/>
  <c r="K11" i="118" l="1"/>
  <c r="J12" i="118"/>
  <c r="K12" i="118"/>
  <c r="K13" i="118"/>
  <c r="J14" i="118"/>
  <c r="K14" i="118"/>
  <c r="H26" i="118"/>
  <c r="I26" i="118"/>
  <c r="D26" i="118"/>
  <c r="E26" i="118"/>
  <c r="F26" i="118"/>
  <c r="G26" i="118"/>
  <c r="K22" i="118"/>
  <c r="F25" i="140"/>
  <c r="F47" i="140"/>
  <c r="E66" i="140" l="1"/>
  <c r="H66" i="140" s="1"/>
  <c r="E45" i="140"/>
  <c r="H45" i="140" s="1"/>
  <c r="E46" i="140"/>
  <c r="E44" i="140"/>
  <c r="E43" i="140"/>
  <c r="E42" i="140"/>
  <c r="E41" i="140"/>
  <c r="E40" i="140"/>
  <c r="E39" i="140"/>
  <c r="E38" i="140"/>
  <c r="E37" i="140"/>
  <c r="E36" i="140"/>
  <c r="E35" i="140"/>
  <c r="E34" i="140"/>
  <c r="E33" i="140"/>
  <c r="C47" i="140"/>
  <c r="E12" i="140"/>
  <c r="E13" i="140"/>
  <c r="E14" i="140"/>
  <c r="E15" i="140"/>
  <c r="E16" i="140"/>
  <c r="E17" i="140"/>
  <c r="E18" i="140"/>
  <c r="E19" i="140"/>
  <c r="E20" i="140"/>
  <c r="E21" i="140"/>
  <c r="E22" i="140"/>
  <c r="E23" i="140"/>
  <c r="H23" i="140" s="1"/>
  <c r="E24" i="140"/>
  <c r="E11" i="140"/>
  <c r="J110" i="130" l="1"/>
  <c r="J111" i="130"/>
  <c r="K90" i="130"/>
  <c r="K91" i="130"/>
  <c r="K92" i="130"/>
  <c r="K93" i="130"/>
  <c r="K78" i="130"/>
  <c r="K57" i="130"/>
  <c r="K49" i="130"/>
  <c r="K50" i="130"/>
  <c r="K51" i="130"/>
  <c r="K52" i="130"/>
  <c r="K53" i="130"/>
  <c r="K54" i="130"/>
  <c r="K55" i="130"/>
  <c r="K45" i="130"/>
  <c r="I48" i="130"/>
  <c r="I9" i="130"/>
  <c r="E13" i="142" l="1"/>
  <c r="F13" i="142"/>
  <c r="G13" i="142"/>
  <c r="H13" i="142"/>
  <c r="I13" i="142"/>
  <c r="D13" i="142"/>
  <c r="E74" i="131"/>
  <c r="F74" i="131"/>
  <c r="G74" i="131"/>
  <c r="H74" i="131"/>
  <c r="I74" i="131"/>
  <c r="D74" i="131"/>
  <c r="K88" i="131"/>
  <c r="K95" i="131"/>
  <c r="E79" i="131"/>
  <c r="F79" i="131"/>
  <c r="G79" i="131"/>
  <c r="H79" i="131"/>
  <c r="I79" i="131"/>
  <c r="D79" i="131"/>
  <c r="E69" i="131"/>
  <c r="F69" i="131"/>
  <c r="G69" i="131"/>
  <c r="H69" i="131"/>
  <c r="I69" i="131"/>
  <c r="D69" i="131"/>
  <c r="E64" i="131"/>
  <c r="F64" i="131"/>
  <c r="G64" i="131"/>
  <c r="H64" i="131"/>
  <c r="I64" i="131"/>
  <c r="D64" i="131"/>
  <c r="E59" i="131"/>
  <c r="F59" i="131"/>
  <c r="G59" i="131"/>
  <c r="H59" i="131"/>
  <c r="I59" i="131"/>
  <c r="D59" i="131"/>
  <c r="E53" i="131"/>
  <c r="F53" i="131"/>
  <c r="G53" i="131"/>
  <c r="H53" i="131"/>
  <c r="I53" i="131"/>
  <c r="D53" i="131"/>
  <c r="E48" i="131"/>
  <c r="F48" i="131"/>
  <c r="G48" i="131"/>
  <c r="H48" i="131"/>
  <c r="I48" i="131"/>
  <c r="D48" i="131"/>
  <c r="E43" i="131"/>
  <c r="F43" i="131"/>
  <c r="G43" i="131"/>
  <c r="H43" i="131"/>
  <c r="I43" i="131"/>
  <c r="D43" i="131"/>
  <c r="E38" i="131"/>
  <c r="F38" i="131"/>
  <c r="G38" i="131"/>
  <c r="H38" i="131"/>
  <c r="I38" i="131"/>
  <c r="D38" i="131"/>
  <c r="E33" i="131"/>
  <c r="F33" i="131"/>
  <c r="G33" i="131"/>
  <c r="H33" i="131"/>
  <c r="I33" i="131"/>
  <c r="D33" i="131"/>
  <c r="E28" i="131"/>
  <c r="F28" i="131"/>
  <c r="G28" i="131"/>
  <c r="H28" i="131"/>
  <c r="I28" i="131"/>
  <c r="D28" i="131"/>
  <c r="E23" i="131"/>
  <c r="F23" i="131"/>
  <c r="G23" i="131"/>
  <c r="H23" i="131"/>
  <c r="I23" i="131"/>
  <c r="D23" i="131"/>
  <c r="E17" i="131"/>
  <c r="F17" i="131"/>
  <c r="G17" i="131"/>
  <c r="H17" i="131"/>
  <c r="I17" i="131"/>
  <c r="D17" i="131"/>
  <c r="E9" i="131"/>
  <c r="F9" i="131"/>
  <c r="G9" i="131"/>
  <c r="H9" i="131"/>
  <c r="I9" i="131"/>
  <c r="D9" i="131"/>
  <c r="K34" i="109" l="1"/>
  <c r="J34" i="109"/>
  <c r="K33" i="109"/>
  <c r="F28" i="109"/>
  <c r="I28" i="109"/>
  <c r="D28" i="109"/>
  <c r="E28" i="109"/>
  <c r="E14" i="110" l="1"/>
  <c r="F14" i="110"/>
  <c r="G14" i="110"/>
  <c r="H14" i="110"/>
  <c r="I14" i="110"/>
  <c r="D14" i="110"/>
  <c r="K12" i="133" l="1"/>
  <c r="I10" i="141" l="1"/>
  <c r="J10" i="141"/>
  <c r="G28" i="47" l="1"/>
  <c r="K99" i="131"/>
  <c r="K20" i="138" l="1"/>
  <c r="J17" i="126" l="1"/>
  <c r="K17" i="126"/>
  <c r="J18" i="126"/>
  <c r="K18" i="126"/>
  <c r="K10" i="110"/>
  <c r="I9" i="109" l="1"/>
  <c r="I17" i="109"/>
  <c r="H17" i="109"/>
  <c r="G75" i="47" l="1"/>
  <c r="C29" i="12"/>
  <c r="C38" i="47"/>
  <c r="B93" i="47"/>
  <c r="B92" i="47"/>
  <c r="B90" i="47"/>
  <c r="B91" i="47"/>
  <c r="H49" i="47" l="1"/>
  <c r="H50" i="47"/>
  <c r="H53" i="47"/>
  <c r="H62" i="47"/>
  <c r="H66" i="47"/>
  <c r="H30" i="47"/>
  <c r="H20" i="47"/>
  <c r="H22" i="47"/>
  <c r="C27" i="12" l="1"/>
  <c r="B27" i="12"/>
  <c r="C59" i="47" l="1"/>
  <c r="G42" i="47" l="1"/>
  <c r="G43" i="47"/>
  <c r="I18" i="2"/>
  <c r="I20" i="2"/>
  <c r="G24" i="16"/>
  <c r="G21" i="16"/>
  <c r="G18" i="16"/>
  <c r="G15" i="16"/>
  <c r="G12" i="16"/>
  <c r="G9" i="16"/>
  <c r="E26" i="16"/>
  <c r="E25" i="16"/>
  <c r="E24" i="16" s="1"/>
  <c r="E21" i="16"/>
  <c r="E18" i="16"/>
  <c r="E15" i="16"/>
  <c r="E12" i="16"/>
  <c r="E9" i="16"/>
  <c r="E9" i="80"/>
  <c r="C9" i="80"/>
  <c r="I62" i="127"/>
  <c r="I64" i="127"/>
  <c r="I52" i="127"/>
  <c r="I48" i="127"/>
  <c r="I34" i="127"/>
  <c r="I27" i="127"/>
  <c r="I15" i="114"/>
  <c r="I10" i="114"/>
  <c r="I30" i="109"/>
  <c r="I9" i="138"/>
  <c r="I92" i="131"/>
  <c r="I28" i="142"/>
  <c r="I23" i="142"/>
  <c r="I97" i="130"/>
  <c r="I89" i="130"/>
  <c r="I69" i="130"/>
  <c r="I64" i="130"/>
  <c r="I59" i="130"/>
  <c r="I37" i="130"/>
  <c r="I24" i="130"/>
  <c r="D97" i="130"/>
  <c r="D89" i="130"/>
  <c r="D76" i="130"/>
  <c r="B34" i="134" s="1"/>
  <c r="D69" i="130"/>
  <c r="D64" i="130"/>
  <c r="D59" i="130"/>
  <c r="D48" i="130"/>
  <c r="D37" i="130"/>
  <c r="D24" i="130"/>
  <c r="D9" i="130"/>
  <c r="I10" i="126"/>
  <c r="F10" i="126"/>
  <c r="D10" i="126"/>
  <c r="D23" i="126" s="1"/>
  <c r="F12" i="112"/>
  <c r="D12" i="112"/>
  <c r="I20" i="113"/>
  <c r="G23" i="142"/>
  <c r="H23" i="142"/>
  <c r="B9" i="12"/>
  <c r="B10" i="12"/>
  <c r="B11" i="12"/>
  <c r="B12" i="12"/>
  <c r="I100" i="131" l="1"/>
  <c r="G50" i="134"/>
  <c r="I58" i="127"/>
  <c r="K11" i="109" l="1"/>
  <c r="K96" i="131" l="1"/>
  <c r="J11" i="109"/>
  <c r="B13" i="12" l="1"/>
  <c r="C9" i="12" l="1"/>
  <c r="C10" i="12"/>
  <c r="C11" i="12"/>
  <c r="C12" i="12"/>
  <c r="D18" i="141"/>
  <c r="E18" i="141"/>
  <c r="F18" i="141"/>
  <c r="G18" i="141"/>
  <c r="C18" i="141"/>
  <c r="D12" i="137"/>
  <c r="E12" i="137"/>
  <c r="F12" i="137"/>
  <c r="G12" i="137"/>
  <c r="C12" i="137"/>
  <c r="J15" i="131" l="1"/>
  <c r="K15" i="131"/>
  <c r="H12" i="137"/>
  <c r="J9" i="137"/>
  <c r="I9" i="137"/>
  <c r="J10" i="137"/>
  <c r="I10" i="137"/>
  <c r="I11" i="137"/>
  <c r="J9" i="141"/>
  <c r="J21" i="133" l="1"/>
  <c r="G77" i="47" l="1"/>
  <c r="D27" i="134" l="1"/>
  <c r="I16" i="80" l="1"/>
  <c r="I19" i="80"/>
  <c r="I21" i="80"/>
  <c r="I22" i="80"/>
  <c r="O31" i="81" l="1"/>
  <c r="P31" i="81"/>
  <c r="N31" i="81"/>
  <c r="P18" i="81"/>
  <c r="N18" i="81"/>
  <c r="C27" i="81"/>
  <c r="D27" i="81"/>
  <c r="B27" i="81"/>
  <c r="F92" i="47" l="1"/>
  <c r="E92" i="47"/>
  <c r="F93" i="47"/>
  <c r="E93" i="47"/>
  <c r="E27" i="12"/>
  <c r="E9" i="12"/>
  <c r="F9" i="12"/>
  <c r="D9" i="12"/>
  <c r="G54" i="47" l="1"/>
  <c r="H54" i="47" l="1"/>
  <c r="H19" i="47" l="1"/>
  <c r="G92" i="47"/>
  <c r="D27" i="12"/>
  <c r="G9" i="12" l="1"/>
  <c r="D10" i="12"/>
  <c r="E10" i="12"/>
  <c r="F10" i="12"/>
  <c r="D11" i="12"/>
  <c r="E11" i="12"/>
  <c r="F11" i="12"/>
  <c r="G11" i="12"/>
  <c r="D12" i="12"/>
  <c r="E12" i="12"/>
  <c r="F12" i="12"/>
  <c r="D93" i="47" l="1"/>
  <c r="D92" i="47"/>
  <c r="E90" i="47"/>
  <c r="F90" i="47"/>
  <c r="D90" i="47"/>
  <c r="E91" i="47"/>
  <c r="F91" i="47"/>
  <c r="D91" i="47"/>
  <c r="E118" i="47" l="1"/>
  <c r="F118" i="47"/>
  <c r="E119" i="47"/>
  <c r="F119" i="47"/>
  <c r="E120" i="47"/>
  <c r="F120" i="47"/>
  <c r="E121" i="47"/>
  <c r="F121" i="47"/>
  <c r="E113" i="47"/>
  <c r="F113" i="47"/>
  <c r="D113" i="47"/>
  <c r="E112" i="47"/>
  <c r="F112" i="47"/>
  <c r="E95" i="47"/>
  <c r="F95" i="47"/>
  <c r="D95" i="47"/>
  <c r="C113" i="47" l="1"/>
  <c r="B113" i="47"/>
  <c r="B112" i="47"/>
  <c r="C95" i="47"/>
  <c r="B95" i="47"/>
  <c r="C93" i="47" l="1"/>
  <c r="C92" i="47"/>
  <c r="C90" i="47"/>
  <c r="E64" i="127" l="1"/>
  <c r="H64" i="127" l="1"/>
  <c r="G64" i="127"/>
  <c r="K38" i="127" l="1"/>
  <c r="E67" i="140"/>
  <c r="H67" i="140" s="1"/>
  <c r="E65" i="140"/>
  <c r="H65" i="140" s="1"/>
  <c r="E64" i="140"/>
  <c r="H64" i="140" s="1"/>
  <c r="E63" i="140"/>
  <c r="H63" i="140" s="1"/>
  <c r="E62" i="140"/>
  <c r="H62" i="140" s="1"/>
  <c r="E61" i="140"/>
  <c r="H61" i="140" s="1"/>
  <c r="E60" i="140"/>
  <c r="H60" i="140" s="1"/>
  <c r="E59" i="140"/>
  <c r="H59" i="140" s="1"/>
  <c r="E58" i="140"/>
  <c r="H58" i="140" s="1"/>
  <c r="E57" i="140"/>
  <c r="H57" i="140" s="1"/>
  <c r="E56" i="140"/>
  <c r="H56" i="140" s="1"/>
  <c r="E55" i="140"/>
  <c r="H55" i="140" s="1"/>
  <c r="G93" i="47"/>
  <c r="G60" i="47"/>
  <c r="I47" i="140"/>
  <c r="G47" i="140"/>
  <c r="D47" i="140"/>
  <c r="B47" i="140"/>
  <c r="H46" i="140"/>
  <c r="H44" i="140"/>
  <c r="H43" i="140"/>
  <c r="H42" i="140"/>
  <c r="H41" i="140"/>
  <c r="H40" i="140"/>
  <c r="H39" i="140"/>
  <c r="H38" i="140"/>
  <c r="H37" i="140"/>
  <c r="H36" i="140"/>
  <c r="H35" i="140"/>
  <c r="H34" i="140"/>
  <c r="H33" i="140"/>
  <c r="H12" i="140"/>
  <c r="H13" i="140"/>
  <c r="H14" i="140"/>
  <c r="H15" i="140"/>
  <c r="H16" i="140"/>
  <c r="H17" i="140"/>
  <c r="H18" i="140"/>
  <c r="H19" i="140"/>
  <c r="H20" i="140"/>
  <c r="H21" i="140"/>
  <c r="H22" i="140"/>
  <c r="H24" i="140"/>
  <c r="H11" i="140"/>
  <c r="H60" i="47" l="1"/>
  <c r="G18" i="47"/>
  <c r="H18" i="47" s="1"/>
  <c r="G61" i="47"/>
  <c r="H61" i="47" s="1"/>
  <c r="E25" i="140"/>
  <c r="J38" i="127"/>
  <c r="H47" i="140"/>
  <c r="E47" i="140"/>
  <c r="F18" i="81"/>
  <c r="G10" i="12" l="1"/>
  <c r="G90" i="47"/>
  <c r="H24" i="133"/>
  <c r="D24" i="133"/>
  <c r="E24" i="133"/>
  <c r="F24" i="133"/>
  <c r="G24" i="133"/>
  <c r="J16" i="133" l="1"/>
  <c r="K16" i="133"/>
  <c r="B21" i="12" l="1"/>
  <c r="G21" i="12"/>
  <c r="E21" i="12"/>
  <c r="D21" i="12"/>
  <c r="K90" i="131" l="1"/>
  <c r="K19" i="126" l="1"/>
  <c r="J14" i="119" l="1"/>
  <c r="I14" i="119"/>
  <c r="J19" i="109"/>
  <c r="J16" i="141" l="1"/>
  <c r="K28" i="110"/>
  <c r="J28" i="110"/>
  <c r="J29" i="110"/>
  <c r="K29" i="110"/>
  <c r="K19" i="109"/>
  <c r="K15" i="118" l="1"/>
  <c r="K82" i="130"/>
  <c r="K102" i="130" l="1"/>
  <c r="E22" i="120"/>
  <c r="F22" i="120"/>
  <c r="D22" i="120"/>
  <c r="G31" i="81"/>
  <c r="H31" i="81"/>
  <c r="F31" i="81"/>
  <c r="F32" i="110"/>
  <c r="G32" i="110"/>
  <c r="H32" i="110"/>
  <c r="D32" i="110"/>
  <c r="E15" i="114"/>
  <c r="F15" i="114"/>
  <c r="G15" i="114"/>
  <c r="H15" i="114"/>
  <c r="D15" i="114"/>
  <c r="E10" i="126"/>
  <c r="E23" i="126" s="1"/>
  <c r="F23" i="126"/>
  <c r="G10" i="126"/>
  <c r="G23" i="126" s="1"/>
  <c r="H10" i="126"/>
  <c r="H23" i="126" s="1"/>
  <c r="E10" i="114"/>
  <c r="F10" i="114"/>
  <c r="G10" i="114"/>
  <c r="H10" i="114"/>
  <c r="D10" i="114"/>
  <c r="K24" i="127"/>
  <c r="F27" i="127"/>
  <c r="E22" i="114" l="1"/>
  <c r="J24" i="127"/>
  <c r="C21" i="12"/>
  <c r="E37" i="130" l="1"/>
  <c r="H42" i="47" l="1"/>
  <c r="H43" i="47"/>
  <c r="H23" i="47"/>
  <c r="H25" i="47"/>
  <c r="H26" i="47"/>
  <c r="H27" i="47"/>
  <c r="H28" i="47"/>
  <c r="H31" i="47"/>
  <c r="H32" i="47"/>
  <c r="H33" i="47"/>
  <c r="I13" i="2"/>
  <c r="I14" i="2"/>
  <c r="I15" i="2"/>
  <c r="I16" i="2"/>
  <c r="I17" i="2"/>
  <c r="K16" i="16"/>
  <c r="I12" i="80"/>
  <c r="I13" i="80"/>
  <c r="I14" i="80"/>
  <c r="I24" i="80"/>
  <c r="I23" i="80"/>
  <c r="I25" i="80"/>
  <c r="C27" i="134"/>
  <c r="B27" i="134"/>
  <c r="C21" i="134"/>
  <c r="C23" i="134"/>
  <c r="C24" i="134"/>
  <c r="C25" i="134"/>
  <c r="C26" i="134"/>
  <c r="B26" i="134"/>
  <c r="B25" i="134"/>
  <c r="B24" i="134"/>
  <c r="B23" i="134"/>
  <c r="B21" i="134"/>
  <c r="E24" i="130"/>
  <c r="C22" i="134" s="1"/>
  <c r="B22" i="134"/>
  <c r="G52" i="127"/>
  <c r="H52" i="127"/>
  <c r="D28" i="142"/>
  <c r="D23" i="142"/>
  <c r="D35" i="142" l="1"/>
  <c r="B28" i="134"/>
  <c r="C28" i="134"/>
  <c r="B30" i="4" l="1"/>
  <c r="C91" i="47"/>
  <c r="J42" i="127" l="1"/>
  <c r="E35" i="134" l="1"/>
  <c r="E36" i="134"/>
  <c r="C33" i="134"/>
  <c r="D33" i="134"/>
  <c r="E33" i="134"/>
  <c r="F33" i="134"/>
  <c r="B33" i="134"/>
  <c r="E14" i="134"/>
  <c r="C9" i="134"/>
  <c r="D9" i="134"/>
  <c r="E9" i="134"/>
  <c r="F9" i="134"/>
  <c r="B9" i="134"/>
  <c r="K10" i="81"/>
  <c r="L10" i="81"/>
  <c r="J10" i="81"/>
  <c r="C57" i="134" l="1"/>
  <c r="B57" i="134"/>
  <c r="G20" i="81"/>
  <c r="H20" i="81"/>
  <c r="K16" i="81"/>
  <c r="K15" i="81"/>
  <c r="L13" i="81"/>
  <c r="K13" i="81"/>
  <c r="J13" i="81"/>
  <c r="L25" i="81"/>
  <c r="F28" i="12" l="1"/>
  <c r="F29" i="12"/>
  <c r="J17" i="141" l="1"/>
  <c r="C31" i="4"/>
  <c r="B31" i="4"/>
  <c r="B32" i="81"/>
  <c r="K9" i="117"/>
  <c r="G62" i="127" l="1"/>
  <c r="H62" i="127"/>
  <c r="K18" i="133" l="1"/>
  <c r="J11" i="110"/>
  <c r="E48" i="127"/>
  <c r="E51" i="127" s="1"/>
  <c r="F48" i="127"/>
  <c r="G48" i="127"/>
  <c r="G51" i="127" s="1"/>
  <c r="H48" i="127"/>
  <c r="H51" i="127" s="1"/>
  <c r="D48" i="127"/>
  <c r="K49" i="127" l="1"/>
  <c r="D47" i="134"/>
  <c r="F47" i="134"/>
  <c r="E47" i="134"/>
  <c r="G76" i="47"/>
  <c r="G27" i="12" l="1"/>
  <c r="H27" i="12" s="1"/>
  <c r="H77" i="47"/>
  <c r="G69" i="47"/>
  <c r="H69" i="47" s="1"/>
  <c r="F25" i="16" l="1"/>
  <c r="H25" i="16"/>
  <c r="I25" i="16"/>
  <c r="J25" i="16"/>
  <c r="F26" i="16"/>
  <c r="C65" i="47" s="1"/>
  <c r="H26" i="16"/>
  <c r="I26" i="16"/>
  <c r="J26" i="16"/>
  <c r="G65" i="47" s="1"/>
  <c r="K15" i="138" l="1"/>
  <c r="H65" i="47"/>
  <c r="C112" i="47"/>
  <c r="C115" i="47" s="1"/>
  <c r="B115" i="47"/>
  <c r="C118" i="47"/>
  <c r="D118" i="47"/>
  <c r="C119" i="47"/>
  <c r="D119" i="47"/>
  <c r="C120" i="47"/>
  <c r="D120" i="47"/>
  <c r="C121" i="47"/>
  <c r="D121" i="47"/>
  <c r="B121" i="47"/>
  <c r="B120" i="47"/>
  <c r="B119" i="47"/>
  <c r="B118" i="47"/>
  <c r="C102" i="47"/>
  <c r="D102" i="47"/>
  <c r="E102" i="47"/>
  <c r="F102" i="47"/>
  <c r="B102" i="47"/>
  <c r="C101" i="47"/>
  <c r="D101" i="47"/>
  <c r="E101" i="47"/>
  <c r="F101" i="47"/>
  <c r="B101" i="47"/>
  <c r="C100" i="47"/>
  <c r="D100" i="47"/>
  <c r="E100" i="47"/>
  <c r="F100" i="47"/>
  <c r="B100" i="47"/>
  <c r="C104" i="47" l="1"/>
  <c r="B104" i="47"/>
  <c r="C122" i="47"/>
  <c r="C124" i="47" s="1"/>
  <c r="B122" i="47"/>
  <c r="B124" i="47" s="1"/>
  <c r="E12" i="112" l="1"/>
  <c r="G12" i="112"/>
  <c r="H12" i="112"/>
  <c r="B25" i="140"/>
  <c r="C25" i="140"/>
  <c r="D25" i="140"/>
  <c r="G57" i="47" s="1"/>
  <c r="G25" i="140"/>
  <c r="I25" i="140"/>
  <c r="G24" i="47" s="1"/>
  <c r="H18" i="81"/>
  <c r="G18" i="81"/>
  <c r="E27" i="134"/>
  <c r="F27" i="134"/>
  <c r="E26" i="134"/>
  <c r="F26" i="134"/>
  <c r="D26" i="134"/>
  <c r="E25" i="134"/>
  <c r="F25" i="134"/>
  <c r="D25" i="134"/>
  <c r="E24" i="134"/>
  <c r="F24" i="134"/>
  <c r="D24" i="134"/>
  <c r="E23" i="134"/>
  <c r="F23" i="134"/>
  <c r="D23" i="134"/>
  <c r="E21" i="134"/>
  <c r="E57" i="134" s="1"/>
  <c r="F21" i="134"/>
  <c r="F57" i="134" s="1"/>
  <c r="D21" i="134"/>
  <c r="D57" i="134" s="1"/>
  <c r="H57" i="47" l="1"/>
  <c r="G59" i="47"/>
  <c r="H59" i="47" s="1"/>
  <c r="B11" i="4"/>
  <c r="B12" i="81"/>
  <c r="C11" i="4"/>
  <c r="G12" i="12"/>
  <c r="G58" i="47"/>
  <c r="H58" i="47" s="1"/>
  <c r="G100" i="47"/>
  <c r="G91" i="47"/>
  <c r="H24" i="47"/>
  <c r="B10" i="81"/>
  <c r="C9" i="4"/>
  <c r="B9" i="4"/>
  <c r="G121" i="47"/>
  <c r="J18" i="110"/>
  <c r="G41" i="47" l="1"/>
  <c r="H41" i="47" s="1"/>
  <c r="G101" i="47"/>
  <c r="G102" i="47"/>
  <c r="K18" i="110"/>
  <c r="I18" i="81"/>
  <c r="G25" i="134"/>
  <c r="H25" i="134" s="1"/>
  <c r="G100" i="131"/>
  <c r="G68" i="47" l="1"/>
  <c r="H68" i="47" s="1"/>
  <c r="F28" i="142" l="1"/>
  <c r="G28" i="142"/>
  <c r="H28" i="142"/>
  <c r="J14" i="141" l="1"/>
  <c r="I14" i="141"/>
  <c r="J17" i="142"/>
  <c r="I31" i="81"/>
  <c r="J11" i="142"/>
  <c r="K11" i="142"/>
  <c r="K19" i="142"/>
  <c r="J19" i="142"/>
  <c r="J26" i="142"/>
  <c r="K26" i="142"/>
  <c r="J31" i="142"/>
  <c r="K31" i="142"/>
  <c r="G27" i="134"/>
  <c r="H27" i="134" s="1"/>
  <c r="K17" i="142"/>
  <c r="G20" i="113" l="1"/>
  <c r="I13" i="141" l="1"/>
  <c r="I11" i="141" l="1"/>
  <c r="H18" i="141"/>
  <c r="J13" i="141"/>
  <c r="G67" i="47"/>
  <c r="H67" i="47" s="1"/>
  <c r="G48" i="130"/>
  <c r="H48" i="130"/>
  <c r="K110" i="130" l="1"/>
  <c r="F25" i="81" l="1"/>
  <c r="F20" i="81"/>
  <c r="J68" i="127" l="1"/>
  <c r="K68" i="127"/>
  <c r="G25" i="81"/>
  <c r="H25" i="81"/>
  <c r="G16" i="81"/>
  <c r="H16" i="81"/>
  <c r="F16" i="81"/>
  <c r="G15" i="81"/>
  <c r="H15" i="81"/>
  <c r="F15" i="81"/>
  <c r="G13" i="81" l="1"/>
  <c r="H13" i="81"/>
  <c r="F13" i="81"/>
  <c r="G11" i="81"/>
  <c r="H11" i="81"/>
  <c r="F11" i="81"/>
  <c r="E28" i="142" l="1"/>
  <c r="K37" i="127" l="1"/>
  <c r="D27" i="127"/>
  <c r="D92" i="131" l="1"/>
  <c r="D100" i="131" s="1"/>
  <c r="H24" i="130"/>
  <c r="G24" i="130"/>
  <c r="B11" i="134"/>
  <c r="B12" i="134"/>
  <c r="B13" i="134"/>
  <c r="B14" i="134"/>
  <c r="B15" i="134"/>
  <c r="D11" i="134"/>
  <c r="D12" i="134"/>
  <c r="D13" i="134"/>
  <c r="D14" i="134"/>
  <c r="D15" i="134"/>
  <c r="I31" i="80"/>
  <c r="I28" i="80"/>
  <c r="C97" i="47"/>
  <c r="C106" i="47" s="1"/>
  <c r="B97" i="47"/>
  <c r="B106" i="47" s="1"/>
  <c r="H14" i="81" l="1"/>
  <c r="H33" i="81" s="1"/>
  <c r="F22" i="134"/>
  <c r="F28" i="134" s="1"/>
  <c r="F14" i="81"/>
  <c r="F33" i="81" s="1"/>
  <c r="D22" i="134"/>
  <c r="D28" i="134" s="1"/>
  <c r="G14" i="81"/>
  <c r="G33" i="81" s="1"/>
  <c r="E22" i="134"/>
  <c r="K27" i="142"/>
  <c r="F23" i="142"/>
  <c r="E23" i="142"/>
  <c r="E28" i="134" l="1"/>
  <c r="B24" i="4"/>
  <c r="J28" i="142"/>
  <c r="K25" i="142"/>
  <c r="J25" i="142"/>
  <c r="K30" i="142"/>
  <c r="J30" i="142"/>
  <c r="J27" i="142"/>
  <c r="J24" i="142"/>
  <c r="K24" i="142"/>
  <c r="J23" i="142" l="1"/>
  <c r="K28" i="142"/>
  <c r="K29" i="142"/>
  <c r="J29" i="142"/>
  <c r="K23" i="142" l="1"/>
  <c r="J9" i="145"/>
  <c r="I9" i="145" l="1"/>
  <c r="H34" i="127"/>
  <c r="J86" i="131"/>
  <c r="J87" i="131"/>
  <c r="K94" i="131" l="1"/>
  <c r="H110" i="47"/>
  <c r="E62" i="127" l="1"/>
  <c r="F52" i="127"/>
  <c r="E52" i="127"/>
  <c r="D52" i="127"/>
  <c r="E34" i="127"/>
  <c r="F34" i="127"/>
  <c r="G34" i="127"/>
  <c r="D34" i="127"/>
  <c r="K66" i="127" l="1"/>
  <c r="J66" i="127"/>
  <c r="K67" i="127"/>
  <c r="J67" i="127"/>
  <c r="K69" i="127"/>
  <c r="J69" i="127"/>
  <c r="J53" i="127"/>
  <c r="K53" i="127"/>
  <c r="K63" i="127"/>
  <c r="J63" i="127"/>
  <c r="J59" i="127"/>
  <c r="K64" i="127"/>
  <c r="H58" i="127"/>
  <c r="D58" i="127"/>
  <c r="D76" i="127" s="1"/>
  <c r="G58" i="127"/>
  <c r="F58" i="127"/>
  <c r="F76" i="127" s="1"/>
  <c r="E58" i="127"/>
  <c r="K48" i="127"/>
  <c r="K52" i="127"/>
  <c r="K61" i="127"/>
  <c r="J61" i="127"/>
  <c r="K60" i="127"/>
  <c r="J60" i="127"/>
  <c r="K65" i="127"/>
  <c r="J65" i="127"/>
  <c r="K54" i="127"/>
  <c r="J54" i="127"/>
  <c r="K50" i="127"/>
  <c r="J50" i="127"/>
  <c r="K62" i="127" l="1"/>
  <c r="J62" i="127"/>
  <c r="J48" i="127"/>
  <c r="K59" i="127"/>
  <c r="J64" i="127"/>
  <c r="J52" i="127"/>
  <c r="K58" i="127" l="1"/>
  <c r="J58" i="127"/>
  <c r="J34" i="130"/>
  <c r="I22" i="81"/>
  <c r="I25" i="81" l="1"/>
  <c r="I13" i="81"/>
  <c r="G21" i="134"/>
  <c r="H21" i="134" s="1"/>
  <c r="K19" i="127"/>
  <c r="J19" i="127"/>
  <c r="I15" i="81"/>
  <c r="J26" i="127"/>
  <c r="K26" i="127"/>
  <c r="J47" i="127"/>
  <c r="K47" i="127"/>
  <c r="J74" i="127"/>
  <c r="K74" i="127"/>
  <c r="K83" i="131"/>
  <c r="J83" i="131"/>
  <c r="K78" i="131"/>
  <c r="J78" i="131"/>
  <c r="J73" i="131"/>
  <c r="K73" i="131"/>
  <c r="K68" i="131"/>
  <c r="J68" i="131"/>
  <c r="K63" i="131"/>
  <c r="J63" i="131"/>
  <c r="K57" i="131"/>
  <c r="J57" i="131"/>
  <c r="K52" i="131"/>
  <c r="J52" i="131"/>
  <c r="J47" i="131"/>
  <c r="K47" i="131"/>
  <c r="K42" i="131"/>
  <c r="J42" i="131"/>
  <c r="J37" i="131"/>
  <c r="K37" i="131"/>
  <c r="K32" i="131"/>
  <c r="J32" i="131"/>
  <c r="J27" i="131"/>
  <c r="K27" i="131"/>
  <c r="K21" i="131"/>
  <c r="J21" i="131"/>
  <c r="J13" i="131"/>
  <c r="K13" i="131"/>
  <c r="J19" i="113"/>
  <c r="K19" i="113"/>
  <c r="I11" i="81"/>
  <c r="J27" i="109"/>
  <c r="K27" i="109"/>
  <c r="J16" i="109"/>
  <c r="K16" i="109"/>
  <c r="I20" i="81"/>
  <c r="J14" i="114"/>
  <c r="K14" i="114"/>
  <c r="I16" i="81"/>
  <c r="J19" i="114"/>
  <c r="K19" i="114"/>
  <c r="K25" i="130"/>
  <c r="J25" i="130"/>
  <c r="K26" i="130"/>
  <c r="J26" i="130"/>
  <c r="K27" i="130"/>
  <c r="J27" i="130"/>
  <c r="K28" i="130"/>
  <c r="J28" i="130"/>
  <c r="K29" i="130"/>
  <c r="J29" i="130"/>
  <c r="K32" i="130"/>
  <c r="J32" i="130"/>
  <c r="K33" i="130"/>
  <c r="J33" i="130"/>
  <c r="K34" i="130"/>
  <c r="K35" i="130"/>
  <c r="J35" i="130"/>
  <c r="K36" i="130"/>
  <c r="J36" i="130"/>
  <c r="K30" i="130"/>
  <c r="J30" i="130"/>
  <c r="K31" i="130"/>
  <c r="J31" i="130"/>
  <c r="K14" i="126"/>
  <c r="J14" i="126"/>
  <c r="G26" i="134"/>
  <c r="H26" i="134" s="1"/>
  <c r="G24" i="134"/>
  <c r="H24" i="134" s="1"/>
  <c r="G23" i="134"/>
  <c r="H23" i="134" s="1"/>
  <c r="I14" i="81"/>
  <c r="K87" i="131"/>
  <c r="K24" i="130" l="1"/>
  <c r="J24" i="130"/>
  <c r="G22" i="134"/>
  <c r="H22" i="134" s="1"/>
  <c r="G28" i="134" l="1"/>
  <c r="H28" i="134" s="1"/>
  <c r="J21" i="142" l="1"/>
  <c r="K21" i="142"/>
  <c r="J20" i="142" l="1"/>
  <c r="K20" i="142" l="1"/>
  <c r="J18" i="138" l="1"/>
  <c r="K18" i="138"/>
  <c r="B24" i="81" l="1"/>
  <c r="C23" i="4"/>
  <c r="B23" i="4"/>
  <c r="F23" i="4"/>
  <c r="D24" i="81"/>
  <c r="D23" i="4"/>
  <c r="E23" i="4"/>
  <c r="C24" i="81"/>
  <c r="J20" i="127" l="1"/>
  <c r="K20" i="127"/>
  <c r="I11" i="145"/>
  <c r="E24" i="81"/>
  <c r="G23" i="4"/>
  <c r="J11" i="145"/>
  <c r="N15" i="81"/>
  <c r="H23" i="4" l="1"/>
  <c r="E115" i="47"/>
  <c r="F115" i="47"/>
  <c r="D112" i="47"/>
  <c r="H112" i="47" l="1"/>
  <c r="D115" i="47"/>
  <c r="G17" i="109" l="1"/>
  <c r="C29" i="4" l="1"/>
  <c r="B29" i="4"/>
  <c r="B30" i="81"/>
  <c r="B18" i="81"/>
  <c r="D29" i="4"/>
  <c r="F29" i="4"/>
  <c r="E29" i="4"/>
  <c r="F122" i="47"/>
  <c r="E122" i="47"/>
  <c r="D122" i="47"/>
  <c r="F104" i="47"/>
  <c r="E104" i="47"/>
  <c r="D104" i="47"/>
  <c r="F97" i="47"/>
  <c r="E97" i="47"/>
  <c r="D97" i="47"/>
  <c r="F124" i="47" l="1"/>
  <c r="E124" i="47"/>
  <c r="D124" i="47"/>
  <c r="F106" i="47"/>
  <c r="D106" i="47"/>
  <c r="E106" i="47"/>
  <c r="P15" i="81" l="1"/>
  <c r="O15" i="81"/>
  <c r="J11" i="127" l="1"/>
  <c r="K11" i="127"/>
  <c r="J55" i="127"/>
  <c r="K55" i="127"/>
  <c r="J41" i="127"/>
  <c r="H30" i="109"/>
  <c r="G30" i="109"/>
  <c r="E30" i="109"/>
  <c r="D30" i="109"/>
  <c r="F30" i="109"/>
  <c r="K35" i="109"/>
  <c r="F17" i="109"/>
  <c r="E17" i="109"/>
  <c r="D17" i="109"/>
  <c r="H9" i="109"/>
  <c r="G9" i="109"/>
  <c r="F9" i="109"/>
  <c r="E9" i="109"/>
  <c r="D9" i="109"/>
  <c r="J12" i="109"/>
  <c r="J13" i="109"/>
  <c r="J14" i="109"/>
  <c r="G36" i="109" l="1"/>
  <c r="E36" i="109"/>
  <c r="K10" i="109"/>
  <c r="H36" i="109"/>
  <c r="K31" i="109"/>
  <c r="K25" i="109"/>
  <c r="F36" i="109"/>
  <c r="D36" i="109"/>
  <c r="J21" i="109"/>
  <c r="K21" i="109"/>
  <c r="K22" i="109"/>
  <c r="J22" i="109"/>
  <c r="J20" i="109"/>
  <c r="K20" i="109"/>
  <c r="K13" i="109"/>
  <c r="K12" i="109"/>
  <c r="K14" i="109"/>
  <c r="I36" i="109" l="1"/>
  <c r="B20" i="81"/>
  <c r="C19" i="4"/>
  <c r="B19" i="4"/>
  <c r="J21" i="113" l="1"/>
  <c r="K109" i="130" l="1"/>
  <c r="J107" i="130"/>
  <c r="K66" i="130"/>
  <c r="K21" i="113"/>
  <c r="D31" i="4" l="1"/>
  <c r="F31" i="4"/>
  <c r="E31" i="4"/>
  <c r="K86" i="131"/>
  <c r="B18" i="4" l="1"/>
  <c r="B19" i="81"/>
  <c r="C18" i="4"/>
  <c r="D18" i="4"/>
  <c r="F18" i="4"/>
  <c r="E18" i="4"/>
  <c r="J18" i="142"/>
  <c r="K18" i="142" l="1"/>
  <c r="H121" i="47" l="1"/>
  <c r="G118" i="47" l="1"/>
  <c r="H25" i="140"/>
  <c r="I29" i="80"/>
  <c r="H101" i="47"/>
  <c r="I30" i="80" l="1"/>
  <c r="G120" i="47"/>
  <c r="G113" i="47" s="1"/>
  <c r="G115" i="47" s="1"/>
  <c r="G119" i="47"/>
  <c r="H119" i="47" s="1"/>
  <c r="H102" i="47"/>
  <c r="G97" i="47"/>
  <c r="B23" i="12"/>
  <c r="C23" i="12"/>
  <c r="D23" i="12"/>
  <c r="E23" i="12"/>
  <c r="F23" i="12"/>
  <c r="B24" i="12"/>
  <c r="C24" i="12"/>
  <c r="D24" i="12"/>
  <c r="E24" i="12"/>
  <c r="F24" i="12"/>
  <c r="B25" i="12"/>
  <c r="C25" i="12"/>
  <c r="D25" i="12"/>
  <c r="E25" i="12"/>
  <c r="F25" i="12"/>
  <c r="B26" i="12"/>
  <c r="C26" i="12"/>
  <c r="D26" i="12"/>
  <c r="E26" i="12"/>
  <c r="F26" i="12"/>
  <c r="B22" i="12"/>
  <c r="C22" i="12"/>
  <c r="D22" i="12"/>
  <c r="E22" i="12"/>
  <c r="F22" i="12"/>
  <c r="O11" i="81"/>
  <c r="P11" i="81"/>
  <c r="N11" i="81"/>
  <c r="O12" i="81"/>
  <c r="P12" i="81"/>
  <c r="N12" i="81"/>
  <c r="O16" i="81"/>
  <c r="P16" i="81"/>
  <c r="N16" i="81"/>
  <c r="P19" i="81"/>
  <c r="N19" i="81"/>
  <c r="O20" i="81"/>
  <c r="P20" i="81"/>
  <c r="N20" i="81"/>
  <c r="K31" i="81"/>
  <c r="L31" i="81"/>
  <c r="J31" i="81"/>
  <c r="J25" i="81"/>
  <c r="K22" i="81"/>
  <c r="L22" i="81"/>
  <c r="J22" i="81"/>
  <c r="K18" i="81"/>
  <c r="L18" i="81"/>
  <c r="J18" i="81"/>
  <c r="L16" i="81"/>
  <c r="J16" i="81"/>
  <c r="L15" i="81"/>
  <c r="J15" i="81"/>
  <c r="C48" i="134"/>
  <c r="D48" i="134"/>
  <c r="E48" i="134"/>
  <c r="F48" i="134"/>
  <c r="C51" i="134"/>
  <c r="D51" i="134"/>
  <c r="E51" i="134"/>
  <c r="F51" i="134"/>
  <c r="B51" i="134"/>
  <c r="B50" i="134"/>
  <c r="C49" i="134"/>
  <c r="D49" i="134"/>
  <c r="E49" i="134"/>
  <c r="F49" i="134"/>
  <c r="B49" i="134"/>
  <c r="B48" i="134"/>
  <c r="C39" i="134"/>
  <c r="D39" i="134"/>
  <c r="D63" i="134" s="1"/>
  <c r="E39" i="134"/>
  <c r="F39" i="134"/>
  <c r="B39" i="134"/>
  <c r="C38" i="134"/>
  <c r="D38" i="134"/>
  <c r="F38" i="134"/>
  <c r="B38" i="134"/>
  <c r="C37" i="134"/>
  <c r="D37" i="134"/>
  <c r="D61" i="134" s="1"/>
  <c r="E37" i="134"/>
  <c r="F37" i="134"/>
  <c r="B37" i="134"/>
  <c r="C36" i="134"/>
  <c r="D36" i="134"/>
  <c r="F36" i="134"/>
  <c r="B36" i="134"/>
  <c r="B60" i="134" s="1"/>
  <c r="C35" i="134"/>
  <c r="D35" i="134"/>
  <c r="D59" i="134" s="1"/>
  <c r="F35" i="134"/>
  <c r="B35" i="134"/>
  <c r="C15" i="134"/>
  <c r="E15" i="134"/>
  <c r="F15" i="134"/>
  <c r="C14" i="134"/>
  <c r="F14" i="134"/>
  <c r="C13" i="134"/>
  <c r="E13" i="134"/>
  <c r="F13" i="134"/>
  <c r="C12" i="134"/>
  <c r="E12" i="134"/>
  <c r="F12" i="134"/>
  <c r="C11" i="134"/>
  <c r="E11" i="134"/>
  <c r="E59" i="134" s="1"/>
  <c r="F11" i="134"/>
  <c r="C59" i="134" l="1"/>
  <c r="F60" i="134"/>
  <c r="F61" i="134"/>
  <c r="E63" i="134"/>
  <c r="E60" i="134"/>
  <c r="B30" i="12"/>
  <c r="E61" i="134"/>
  <c r="B61" i="134"/>
  <c r="C61" i="134"/>
  <c r="F59" i="134"/>
  <c r="B59" i="134"/>
  <c r="D60" i="134"/>
  <c r="C60" i="134"/>
  <c r="B62" i="134"/>
  <c r="F63" i="134"/>
  <c r="C63" i="134"/>
  <c r="B63" i="134"/>
  <c r="J14" i="127"/>
  <c r="K14" i="127"/>
  <c r="H120" i="47"/>
  <c r="G122" i="47"/>
  <c r="H122" i="47" s="1"/>
  <c r="G104" i="47"/>
  <c r="G106" i="47" s="1"/>
  <c r="H115" i="47"/>
  <c r="H113" i="47"/>
  <c r="H104" i="47" l="1"/>
  <c r="G124" i="47"/>
  <c r="E97" i="130" l="1"/>
  <c r="E89" i="130"/>
  <c r="E76" i="130"/>
  <c r="E69" i="130"/>
  <c r="E64" i="130"/>
  <c r="E59" i="130"/>
  <c r="E48" i="130"/>
  <c r="E58" i="130" s="1"/>
  <c r="C10" i="134"/>
  <c r="E9" i="130"/>
  <c r="E88" i="130" l="1"/>
  <c r="C34" i="134"/>
  <c r="E113" i="130"/>
  <c r="C46" i="134"/>
  <c r="G89" i="130"/>
  <c r="H89" i="130"/>
  <c r="G64" i="130"/>
  <c r="H64" i="130"/>
  <c r="G59" i="130"/>
  <c r="H59" i="130"/>
  <c r="C13" i="4" l="1"/>
  <c r="C58" i="134"/>
  <c r="K65" i="130"/>
  <c r="D9" i="138" l="1"/>
  <c r="B46" i="134"/>
  <c r="B10" i="134"/>
  <c r="B16" i="134" s="1"/>
  <c r="D113" i="130"/>
  <c r="D10" i="134"/>
  <c r="I11" i="80"/>
  <c r="K23" i="16"/>
  <c r="K20" i="16"/>
  <c r="K17" i="16"/>
  <c r="F24" i="16"/>
  <c r="I23" i="2"/>
  <c r="I24" i="2"/>
  <c r="I25" i="2"/>
  <c r="I26" i="2"/>
  <c r="I9" i="2"/>
  <c r="I10" i="2"/>
  <c r="I11" i="2"/>
  <c r="I12" i="2"/>
  <c r="I21" i="2"/>
  <c r="H39" i="47"/>
  <c r="D30" i="12"/>
  <c r="D13" i="12"/>
  <c r="B58" i="134" l="1"/>
  <c r="F113" i="130"/>
  <c r="D24" i="113"/>
  <c r="B17" i="4"/>
  <c r="B12" i="4"/>
  <c r="J18" i="127"/>
  <c r="J16" i="127"/>
  <c r="J17" i="127"/>
  <c r="D46" i="134"/>
  <c r="N14" i="81"/>
  <c r="F24" i="113"/>
  <c r="D58" i="134" l="1"/>
  <c r="B11" i="81"/>
  <c r="B10" i="4"/>
  <c r="B13" i="4"/>
  <c r="B13" i="81"/>
  <c r="B14" i="81"/>
  <c r="D10" i="4"/>
  <c r="D12" i="4"/>
  <c r="D13" i="4"/>
  <c r="K95" i="130" l="1"/>
  <c r="J95" i="130"/>
  <c r="J33" i="81"/>
  <c r="Q31" i="81"/>
  <c r="H35" i="142"/>
  <c r="G35" i="142"/>
  <c r="F35" i="142"/>
  <c r="K11" i="117"/>
  <c r="G12" i="121"/>
  <c r="F12" i="121"/>
  <c r="E12" i="121"/>
  <c r="D12" i="121"/>
  <c r="C12" i="121"/>
  <c r="I11" i="121"/>
  <c r="I10" i="121"/>
  <c r="G18" i="119"/>
  <c r="F18" i="119"/>
  <c r="E18" i="119"/>
  <c r="D18" i="119"/>
  <c r="C18" i="119"/>
  <c r="J17" i="119"/>
  <c r="H92" i="131"/>
  <c r="H100" i="131" s="1"/>
  <c r="F92" i="131"/>
  <c r="F100" i="131" s="1"/>
  <c r="E92" i="131"/>
  <c r="K85" i="131"/>
  <c r="K84" i="131"/>
  <c r="K82" i="131"/>
  <c r="J81" i="131"/>
  <c r="K76" i="131"/>
  <c r="K71" i="131"/>
  <c r="K67" i="131"/>
  <c r="K66" i="131"/>
  <c r="J61" i="131"/>
  <c r="K58" i="131"/>
  <c r="J55" i="131"/>
  <c r="J51" i="131"/>
  <c r="J50" i="131"/>
  <c r="J45" i="131"/>
  <c r="K40" i="131"/>
  <c r="J36" i="131"/>
  <c r="J35" i="131"/>
  <c r="J22" i="131"/>
  <c r="G10" i="115"/>
  <c r="F10" i="115"/>
  <c r="E10" i="115"/>
  <c r="D10" i="115"/>
  <c r="C10" i="115"/>
  <c r="H10" i="115"/>
  <c r="D25" i="138"/>
  <c r="J12" i="138"/>
  <c r="H9" i="138"/>
  <c r="H25" i="138" s="1"/>
  <c r="G9" i="138"/>
  <c r="G25" i="138" s="1"/>
  <c r="F9" i="138"/>
  <c r="F25" i="138" s="1"/>
  <c r="E9" i="138"/>
  <c r="E25" i="138" s="1"/>
  <c r="G17" i="125"/>
  <c r="F17" i="125"/>
  <c r="E17" i="125"/>
  <c r="D17" i="125"/>
  <c r="C17" i="125"/>
  <c r="J9" i="109"/>
  <c r="K25" i="118"/>
  <c r="J27" i="110"/>
  <c r="K19" i="110"/>
  <c r="Q18" i="81"/>
  <c r="G13" i="134"/>
  <c r="K13" i="133"/>
  <c r="K11" i="133"/>
  <c r="K21" i="114"/>
  <c r="J20" i="114"/>
  <c r="J13" i="114"/>
  <c r="Q16" i="81"/>
  <c r="J12" i="114"/>
  <c r="J11" i="114"/>
  <c r="K11" i="114"/>
  <c r="F22" i="114"/>
  <c r="J72" i="127"/>
  <c r="J71" i="127"/>
  <c r="J46" i="127"/>
  <c r="J45" i="127"/>
  <c r="J39" i="127"/>
  <c r="K32" i="127"/>
  <c r="K30" i="127"/>
  <c r="K28" i="127"/>
  <c r="H27" i="127"/>
  <c r="H76" i="127" s="1"/>
  <c r="G27" i="127"/>
  <c r="G76" i="127" s="1"/>
  <c r="E27" i="127"/>
  <c r="K17" i="127"/>
  <c r="K16" i="127"/>
  <c r="J112" i="130"/>
  <c r="H97" i="130"/>
  <c r="G97" i="130"/>
  <c r="J86" i="130"/>
  <c r="K80" i="130"/>
  <c r="J79" i="130"/>
  <c r="K75" i="130"/>
  <c r="H69" i="130"/>
  <c r="G69" i="130"/>
  <c r="K63" i="130"/>
  <c r="J47" i="130"/>
  <c r="K46" i="130"/>
  <c r="J44" i="130"/>
  <c r="K43" i="130"/>
  <c r="K42" i="130"/>
  <c r="J41" i="130"/>
  <c r="K40" i="130"/>
  <c r="J39" i="130"/>
  <c r="K38" i="130"/>
  <c r="H37" i="130"/>
  <c r="G37" i="130"/>
  <c r="K21" i="130"/>
  <c r="J20" i="130"/>
  <c r="K19" i="130"/>
  <c r="J17" i="130"/>
  <c r="K16" i="130"/>
  <c r="K15" i="130"/>
  <c r="J14" i="130"/>
  <c r="K13" i="130"/>
  <c r="J12" i="130"/>
  <c r="K11" i="130"/>
  <c r="H9" i="130"/>
  <c r="G9" i="130"/>
  <c r="J21" i="126"/>
  <c r="I33" i="81"/>
  <c r="Q12" i="81"/>
  <c r="J10" i="112"/>
  <c r="K23" i="113"/>
  <c r="H20" i="113"/>
  <c r="E20" i="113"/>
  <c r="K17" i="113"/>
  <c r="J16" i="113"/>
  <c r="K15" i="113"/>
  <c r="J14" i="113"/>
  <c r="K11" i="113"/>
  <c r="H9" i="113"/>
  <c r="G9" i="113"/>
  <c r="E9" i="113"/>
  <c r="M10" i="81"/>
  <c r="C40" i="134"/>
  <c r="B40" i="134"/>
  <c r="C16" i="134"/>
  <c r="H64" i="47"/>
  <c r="D11" i="144"/>
  <c r="G52" i="47" s="1"/>
  <c r="D9" i="80"/>
  <c r="H9" i="80"/>
  <c r="J21" i="16"/>
  <c r="K21" i="16" s="1"/>
  <c r="I21" i="16"/>
  <c r="H21" i="16"/>
  <c r="F21" i="16"/>
  <c r="J18" i="16"/>
  <c r="K18" i="16" s="1"/>
  <c r="I18" i="16"/>
  <c r="H18" i="16"/>
  <c r="F18" i="16"/>
  <c r="J15" i="16"/>
  <c r="K15" i="16" s="1"/>
  <c r="I15" i="16"/>
  <c r="H15" i="16"/>
  <c r="F15" i="16"/>
  <c r="J12" i="16"/>
  <c r="I12" i="16"/>
  <c r="H12" i="16"/>
  <c r="F12" i="16"/>
  <c r="K11" i="16"/>
  <c r="K10" i="16"/>
  <c r="J9" i="16"/>
  <c r="I9" i="16"/>
  <c r="H9" i="16"/>
  <c r="F9" i="16"/>
  <c r="G27" i="2"/>
  <c r="F27" i="2"/>
  <c r="E27" i="2"/>
  <c r="D27" i="2"/>
  <c r="C27" i="2"/>
  <c r="I22" i="2"/>
  <c r="H75" i="47"/>
  <c r="G35" i="47"/>
  <c r="F35" i="47"/>
  <c r="E35" i="47"/>
  <c r="D35" i="47"/>
  <c r="B35" i="47"/>
  <c r="H13" i="47"/>
  <c r="H12" i="47"/>
  <c r="H11" i="47"/>
  <c r="H10" i="47"/>
  <c r="F30" i="12"/>
  <c r="E30" i="12"/>
  <c r="G26" i="12"/>
  <c r="G24" i="12"/>
  <c r="H24" i="12" s="1"/>
  <c r="G23" i="12"/>
  <c r="H23" i="12" s="1"/>
  <c r="H21" i="12"/>
  <c r="F13" i="12"/>
  <c r="E13" i="12"/>
  <c r="C13" i="12"/>
  <c r="H12" i="12"/>
  <c r="H11" i="12"/>
  <c r="H10" i="12"/>
  <c r="H9" i="12"/>
  <c r="H52" i="47" l="1"/>
  <c r="H26" i="80"/>
  <c r="H34" i="80" s="1"/>
  <c r="F48" i="47"/>
  <c r="E98" i="131"/>
  <c r="E100" i="131"/>
  <c r="E48" i="47"/>
  <c r="C48" i="47"/>
  <c r="B48" i="47"/>
  <c r="B27" i="4"/>
  <c r="C27" i="4"/>
  <c r="B20" i="4"/>
  <c r="C20" i="4"/>
  <c r="J21" i="138"/>
  <c r="K21" i="138"/>
  <c r="J17" i="138"/>
  <c r="K17" i="138"/>
  <c r="J14" i="138"/>
  <c r="K14" i="138"/>
  <c r="J16" i="138"/>
  <c r="K16" i="138"/>
  <c r="J14" i="125"/>
  <c r="I14" i="125"/>
  <c r="I15" i="125"/>
  <c r="J15" i="125"/>
  <c r="I12" i="125"/>
  <c r="J12" i="125"/>
  <c r="J16" i="125"/>
  <c r="I16" i="125"/>
  <c r="J13" i="125"/>
  <c r="I13" i="125"/>
  <c r="I11" i="125"/>
  <c r="K9" i="110"/>
  <c r="J9" i="110"/>
  <c r="Q13" i="81"/>
  <c r="H45" i="134"/>
  <c r="G113" i="130"/>
  <c r="B28" i="4"/>
  <c r="C28" i="4"/>
  <c r="H113" i="130"/>
  <c r="C21" i="4"/>
  <c r="B21" i="4"/>
  <c r="H24" i="113"/>
  <c r="G24" i="113"/>
  <c r="E24" i="113"/>
  <c r="I24" i="133"/>
  <c r="C16" i="4"/>
  <c r="B17" i="81"/>
  <c r="B16" i="4"/>
  <c r="B22" i="4"/>
  <c r="C22" i="4"/>
  <c r="K98" i="131"/>
  <c r="P25" i="81"/>
  <c r="B21" i="81"/>
  <c r="B25" i="4"/>
  <c r="B26" i="81"/>
  <c r="C25" i="4"/>
  <c r="J18" i="113"/>
  <c r="K18" i="113"/>
  <c r="I12" i="112"/>
  <c r="J22" i="138"/>
  <c r="B22" i="81"/>
  <c r="E35" i="142"/>
  <c r="C17" i="4"/>
  <c r="K27" i="110"/>
  <c r="J31" i="110"/>
  <c r="K31" i="110"/>
  <c r="B16" i="81"/>
  <c r="C12" i="4"/>
  <c r="B31" i="81"/>
  <c r="D34" i="80"/>
  <c r="K74" i="130"/>
  <c r="K73" i="130"/>
  <c r="K70" i="130"/>
  <c r="K71" i="130"/>
  <c r="K72" i="130"/>
  <c r="B15" i="81"/>
  <c r="J24" i="138"/>
  <c r="B23" i="81"/>
  <c r="D22" i="4"/>
  <c r="G14" i="134"/>
  <c r="B28" i="81"/>
  <c r="D27" i="4"/>
  <c r="B29" i="81"/>
  <c r="D28" i="4"/>
  <c r="I18" i="141"/>
  <c r="J18" i="141"/>
  <c r="J9" i="126"/>
  <c r="K11" i="126"/>
  <c r="G9" i="134"/>
  <c r="I26" i="80"/>
  <c r="I32" i="80"/>
  <c r="K21" i="127"/>
  <c r="J73" i="127"/>
  <c r="K73" i="127"/>
  <c r="J12" i="127"/>
  <c r="K12" i="127"/>
  <c r="J13" i="127"/>
  <c r="K13" i="127"/>
  <c r="K35" i="127"/>
  <c r="D25" i="4"/>
  <c r="D11" i="4"/>
  <c r="D9" i="4"/>
  <c r="D20" i="4"/>
  <c r="E20" i="4"/>
  <c r="F20" i="4"/>
  <c r="I10" i="125"/>
  <c r="D17" i="4"/>
  <c r="F17" i="4"/>
  <c r="E17" i="4"/>
  <c r="F28" i="4"/>
  <c r="E28" i="4"/>
  <c r="F27" i="4"/>
  <c r="E27" i="4"/>
  <c r="J20" i="117"/>
  <c r="K20" i="117"/>
  <c r="J18" i="117"/>
  <c r="K18" i="117"/>
  <c r="K17" i="117"/>
  <c r="J17" i="117"/>
  <c r="J16" i="117"/>
  <c r="K16" i="117"/>
  <c r="J15" i="117"/>
  <c r="K15" i="117"/>
  <c r="K28" i="131"/>
  <c r="K69" i="131"/>
  <c r="J80" i="131"/>
  <c r="K75" i="131"/>
  <c r="K65" i="131"/>
  <c r="J60" i="131"/>
  <c r="K59" i="131"/>
  <c r="J62" i="131"/>
  <c r="K62" i="131"/>
  <c r="K56" i="131"/>
  <c r="J56" i="131"/>
  <c r="K53" i="131"/>
  <c r="K49" i="131"/>
  <c r="J48" i="131"/>
  <c r="K39" i="131"/>
  <c r="D16" i="4"/>
  <c r="F16" i="4"/>
  <c r="E16" i="4"/>
  <c r="F22" i="4"/>
  <c r="E22" i="4"/>
  <c r="D44" i="47"/>
  <c r="D30" i="4"/>
  <c r="J33" i="142"/>
  <c r="K33" i="142"/>
  <c r="F30" i="4"/>
  <c r="E30" i="4"/>
  <c r="K13" i="117"/>
  <c r="J13" i="117"/>
  <c r="E21" i="4"/>
  <c r="K67" i="130"/>
  <c r="K104" i="130"/>
  <c r="K108" i="130"/>
  <c r="J108" i="130"/>
  <c r="K98" i="130"/>
  <c r="K111" i="130"/>
  <c r="K100" i="130"/>
  <c r="K99" i="130"/>
  <c r="K112" i="130"/>
  <c r="E12" i="4"/>
  <c r="J24" i="118"/>
  <c r="K24" i="118"/>
  <c r="J23" i="118"/>
  <c r="K23" i="118"/>
  <c r="Q19" i="81"/>
  <c r="J21" i="118"/>
  <c r="J20" i="118"/>
  <c r="K20" i="118"/>
  <c r="J19" i="118"/>
  <c r="K19" i="118"/>
  <c r="J18" i="118"/>
  <c r="K18" i="118"/>
  <c r="J17" i="118"/>
  <c r="K17" i="118"/>
  <c r="J16" i="118"/>
  <c r="K16" i="118"/>
  <c r="F11" i="4"/>
  <c r="E11" i="4"/>
  <c r="F25" i="4"/>
  <c r="E25" i="4"/>
  <c r="J26" i="109"/>
  <c r="K26" i="109"/>
  <c r="J15" i="109"/>
  <c r="K15" i="109"/>
  <c r="D19" i="4"/>
  <c r="F19" i="4"/>
  <c r="K18" i="120"/>
  <c r="J18" i="120"/>
  <c r="J17" i="120"/>
  <c r="K17" i="120"/>
  <c r="J16" i="120"/>
  <c r="K16" i="120"/>
  <c r="J15" i="120"/>
  <c r="K15" i="120"/>
  <c r="J14" i="120"/>
  <c r="K14" i="120"/>
  <c r="F9" i="4"/>
  <c r="E9" i="4"/>
  <c r="D15" i="4"/>
  <c r="G48" i="134"/>
  <c r="D21" i="4"/>
  <c r="B44" i="47"/>
  <c r="K56" i="130"/>
  <c r="J56" i="130"/>
  <c r="J13" i="126"/>
  <c r="K13" i="126"/>
  <c r="J16" i="126"/>
  <c r="K16" i="126"/>
  <c r="J15" i="126"/>
  <c r="K15" i="126"/>
  <c r="G22" i="4"/>
  <c r="E23" i="81"/>
  <c r="G22" i="114"/>
  <c r="J81" i="130"/>
  <c r="K81" i="130"/>
  <c r="E34" i="80"/>
  <c r="O25" i="81"/>
  <c r="J43" i="127"/>
  <c r="K34" i="127"/>
  <c r="Q15" i="81"/>
  <c r="G47" i="134"/>
  <c r="J22" i="142"/>
  <c r="K22" i="142"/>
  <c r="H13" i="134"/>
  <c r="J32" i="142"/>
  <c r="K32" i="142"/>
  <c r="J84" i="131"/>
  <c r="D50" i="134"/>
  <c r="N25" i="81"/>
  <c r="N33" i="81" s="1"/>
  <c r="K13" i="113"/>
  <c r="H22" i="114"/>
  <c r="M15" i="81"/>
  <c r="E10" i="134"/>
  <c r="J24" i="16"/>
  <c r="G35" i="134"/>
  <c r="H35" i="134" s="1"/>
  <c r="J23" i="127"/>
  <c r="G11" i="134"/>
  <c r="D20" i="81"/>
  <c r="D21" i="81"/>
  <c r="C21" i="81"/>
  <c r="D23" i="81"/>
  <c r="C23" i="81"/>
  <c r="J88" i="130"/>
  <c r="K58" i="130"/>
  <c r="E40" i="134"/>
  <c r="K33" i="81"/>
  <c r="F40" i="134"/>
  <c r="L33" i="81"/>
  <c r="P14" i="81"/>
  <c r="F46" i="134"/>
  <c r="O14" i="81"/>
  <c r="E46" i="134"/>
  <c r="F10" i="134"/>
  <c r="J11" i="113"/>
  <c r="G49" i="134"/>
  <c r="H49" i="134" s="1"/>
  <c r="M18" i="81"/>
  <c r="G37" i="134"/>
  <c r="C32" i="81"/>
  <c r="D32" i="81"/>
  <c r="D12" i="81"/>
  <c r="C12" i="81"/>
  <c r="J11" i="121"/>
  <c r="D28" i="81"/>
  <c r="C28" i="81"/>
  <c r="D30" i="81"/>
  <c r="C30" i="81"/>
  <c r="C50" i="134"/>
  <c r="F50" i="134"/>
  <c r="F62" i="134" s="1"/>
  <c r="E50" i="134"/>
  <c r="E62" i="134" s="1"/>
  <c r="J43" i="131"/>
  <c r="J12" i="131"/>
  <c r="K11" i="131"/>
  <c r="G38" i="134"/>
  <c r="H38" i="134" s="1"/>
  <c r="J11" i="131"/>
  <c r="K10" i="131"/>
  <c r="J9" i="118"/>
  <c r="K9" i="118"/>
  <c r="D19" i="81"/>
  <c r="C19" i="81"/>
  <c r="D29" i="81"/>
  <c r="C29" i="81"/>
  <c r="G51" i="134"/>
  <c r="H51" i="134" s="1"/>
  <c r="J16" i="142"/>
  <c r="K16" i="142"/>
  <c r="C31" i="81"/>
  <c r="D31" i="81"/>
  <c r="K15" i="142"/>
  <c r="G39" i="134"/>
  <c r="H39" i="134" s="1"/>
  <c r="J15" i="142"/>
  <c r="K9" i="142"/>
  <c r="J9" i="142"/>
  <c r="K12" i="142"/>
  <c r="J12" i="142"/>
  <c r="K14" i="142"/>
  <c r="G15" i="134"/>
  <c r="J14" i="142"/>
  <c r="I9" i="119"/>
  <c r="J9" i="119"/>
  <c r="I17" i="119"/>
  <c r="D26" i="81"/>
  <c r="C26" i="81"/>
  <c r="K23" i="138"/>
  <c r="D22" i="81"/>
  <c r="C22" i="81"/>
  <c r="J23" i="133"/>
  <c r="K23" i="133"/>
  <c r="J15" i="133"/>
  <c r="K15" i="133"/>
  <c r="D17" i="81"/>
  <c r="C17" i="81"/>
  <c r="J11" i="126"/>
  <c r="J10" i="120"/>
  <c r="K10" i="120"/>
  <c r="K9" i="120"/>
  <c r="J9" i="120"/>
  <c r="D10" i="81"/>
  <c r="C10" i="81"/>
  <c r="J17" i="114"/>
  <c r="G36" i="134"/>
  <c r="H36" i="134" s="1"/>
  <c r="G12" i="134"/>
  <c r="J9" i="114"/>
  <c r="K10" i="113"/>
  <c r="J10" i="113"/>
  <c r="Q11" i="81"/>
  <c r="I24" i="16"/>
  <c r="H24" i="16"/>
  <c r="F34" i="80"/>
  <c r="G34" i="80"/>
  <c r="I9" i="80"/>
  <c r="K24" i="131"/>
  <c r="J24" i="131"/>
  <c r="K97" i="131"/>
  <c r="J97" i="131"/>
  <c r="K19" i="131"/>
  <c r="J19" i="131"/>
  <c r="K25" i="131"/>
  <c r="J25" i="131"/>
  <c r="K26" i="131"/>
  <c r="J26" i="131"/>
  <c r="K31" i="131"/>
  <c r="J31" i="131"/>
  <c r="K93" i="131"/>
  <c r="J19" i="110"/>
  <c r="K17" i="114"/>
  <c r="K15" i="114"/>
  <c r="K33" i="127"/>
  <c r="K23" i="127"/>
  <c r="K45" i="127"/>
  <c r="J75" i="127"/>
  <c r="K75" i="127"/>
  <c r="J9" i="127"/>
  <c r="K9" i="127"/>
  <c r="K71" i="127"/>
  <c r="J28" i="127"/>
  <c r="K59" i="130"/>
  <c r="J80" i="130"/>
  <c r="K103" i="130"/>
  <c r="J103" i="130"/>
  <c r="K80" i="131"/>
  <c r="J75" i="131"/>
  <c r="J65" i="131"/>
  <c r="J66" i="131"/>
  <c r="K60" i="131"/>
  <c r="K55" i="131"/>
  <c r="J49" i="131"/>
  <c r="K50" i="131"/>
  <c r="J40" i="131"/>
  <c r="K35" i="131"/>
  <c r="J33" i="131"/>
  <c r="J10" i="131"/>
  <c r="I10" i="115"/>
  <c r="K17" i="110"/>
  <c r="K20" i="114"/>
  <c r="J97" i="130"/>
  <c r="K86" i="130"/>
  <c r="K44" i="130"/>
  <c r="J63" i="130"/>
  <c r="K47" i="130"/>
  <c r="K17" i="130"/>
  <c r="J9" i="112"/>
  <c r="D40" i="134"/>
  <c r="K14" i="113"/>
  <c r="K21" i="126"/>
  <c r="K12" i="130"/>
  <c r="K20" i="130"/>
  <c r="K39" i="130"/>
  <c r="J13" i="133"/>
  <c r="I9" i="115"/>
  <c r="J39" i="131"/>
  <c r="K45" i="131"/>
  <c r="J58" i="131"/>
  <c r="J10" i="121"/>
  <c r="M22" i="81"/>
  <c r="K70" i="127"/>
  <c r="M31" i="81"/>
  <c r="K16" i="113"/>
  <c r="J23" i="113"/>
  <c r="K9" i="112"/>
  <c r="K14" i="130"/>
  <c r="K41" i="130"/>
  <c r="K69" i="130"/>
  <c r="M16" i="81"/>
  <c r="J21" i="114"/>
  <c r="H17" i="125"/>
  <c r="K81" i="131"/>
  <c r="K26" i="16"/>
  <c r="B52" i="134"/>
  <c r="J17" i="113"/>
  <c r="K10" i="112"/>
  <c r="K9" i="126"/>
  <c r="J11" i="130"/>
  <c r="J15" i="130"/>
  <c r="J19" i="130"/>
  <c r="J38" i="130"/>
  <c r="J42" i="130"/>
  <c r="K9" i="114"/>
  <c r="K12" i="114"/>
  <c r="J11" i="133"/>
  <c r="J25" i="118"/>
  <c r="K79" i="131"/>
  <c r="J82" i="131"/>
  <c r="H12" i="121"/>
  <c r="J11" i="117"/>
  <c r="J13" i="113"/>
  <c r="K46" i="127"/>
  <c r="K72" i="127"/>
  <c r="K12" i="138"/>
  <c r="K36" i="131"/>
  <c r="J38" i="131"/>
  <c r="J67" i="131"/>
  <c r="J76" i="131"/>
  <c r="J85" i="131"/>
  <c r="J9" i="121"/>
  <c r="K79" i="130"/>
  <c r="K20" i="126"/>
  <c r="J20" i="126"/>
  <c r="K36" i="127"/>
  <c r="J36" i="127"/>
  <c r="J10" i="130"/>
  <c r="K10" i="130"/>
  <c r="K18" i="130"/>
  <c r="J18" i="130"/>
  <c r="K37" i="130"/>
  <c r="J37" i="130"/>
  <c r="K18" i="127"/>
  <c r="K12" i="113"/>
  <c r="J12" i="113"/>
  <c r="J23" i="130"/>
  <c r="K23" i="130"/>
  <c r="G33" i="134"/>
  <c r="K22" i="126"/>
  <c r="J22" i="126"/>
  <c r="I27" i="2"/>
  <c r="J22" i="113"/>
  <c r="K22" i="113"/>
  <c r="K16" i="131"/>
  <c r="J16" i="131"/>
  <c r="K30" i="131"/>
  <c r="J30" i="131"/>
  <c r="K70" i="131"/>
  <c r="J70" i="131"/>
  <c r="K77" i="131"/>
  <c r="J77" i="131"/>
  <c r="J15" i="113"/>
  <c r="J11" i="112"/>
  <c r="J13" i="130"/>
  <c r="J21" i="130"/>
  <c r="J40" i="130"/>
  <c r="J68" i="130"/>
  <c r="J85" i="130"/>
  <c r="K31" i="127"/>
  <c r="K10" i="138"/>
  <c r="J10" i="138"/>
  <c r="K34" i="131"/>
  <c r="J34" i="131"/>
  <c r="K54" i="131"/>
  <c r="J54" i="131"/>
  <c r="K9" i="16"/>
  <c r="K25" i="16"/>
  <c r="K11" i="112"/>
  <c r="J16" i="130"/>
  <c r="J43" i="130"/>
  <c r="J46" i="130"/>
  <c r="J75" i="130"/>
  <c r="J21" i="127"/>
  <c r="I32" i="110"/>
  <c r="K11" i="138"/>
  <c r="J11" i="138"/>
  <c r="K44" i="127"/>
  <c r="J44" i="127"/>
  <c r="Q20" i="81"/>
  <c r="K30" i="109"/>
  <c r="J30" i="109"/>
  <c r="C35" i="47"/>
  <c r="F44" i="47"/>
  <c r="G46" i="134"/>
  <c r="K15" i="110"/>
  <c r="J15" i="110"/>
  <c r="K17" i="109"/>
  <c r="J17" i="109"/>
  <c r="K16" i="110"/>
  <c r="J16" i="110"/>
  <c r="J10" i="115"/>
  <c r="K14" i="131"/>
  <c r="J14" i="131"/>
  <c r="K29" i="131"/>
  <c r="J29" i="131"/>
  <c r="K44" i="131"/>
  <c r="J44" i="131"/>
  <c r="K13" i="114"/>
  <c r="J17" i="110"/>
  <c r="K9" i="109"/>
  <c r="K22" i="138"/>
  <c r="K12" i="131"/>
  <c r="K22" i="131"/>
  <c r="K51" i="131"/>
  <c r="K61" i="131"/>
  <c r="I9" i="121"/>
  <c r="J9" i="115"/>
  <c r="H18" i="119"/>
  <c r="M25" i="81"/>
  <c r="J71" i="131"/>
  <c r="D16" i="134"/>
  <c r="G44" i="47"/>
  <c r="E44" i="47"/>
  <c r="H35" i="47"/>
  <c r="G13" i="12"/>
  <c r="G25" i="12"/>
  <c r="H25" i="12" s="1"/>
  <c r="E10" i="4" l="1"/>
  <c r="H12" i="134"/>
  <c r="C24" i="4"/>
  <c r="K91" i="131"/>
  <c r="F16" i="134"/>
  <c r="F58" i="134"/>
  <c r="E16" i="134"/>
  <c r="E58" i="134"/>
  <c r="E64" i="134" s="1"/>
  <c r="D52" i="134"/>
  <c r="D62" i="134"/>
  <c r="D64" i="134" s="1"/>
  <c r="C62" i="134"/>
  <c r="C64" i="134" s="1"/>
  <c r="I76" i="127"/>
  <c r="J22" i="127"/>
  <c r="F21" i="4"/>
  <c r="I113" i="130"/>
  <c r="J20" i="113"/>
  <c r="P33" i="81"/>
  <c r="J98" i="131"/>
  <c r="B25" i="81"/>
  <c r="C10" i="4"/>
  <c r="I35" i="142"/>
  <c r="C30" i="4"/>
  <c r="C15" i="4"/>
  <c r="F13" i="4"/>
  <c r="K89" i="131"/>
  <c r="E13" i="4"/>
  <c r="H48" i="47"/>
  <c r="F16" i="12"/>
  <c r="E16" i="12"/>
  <c r="K88" i="130"/>
  <c r="J34" i="127"/>
  <c r="E14" i="4"/>
  <c r="F14" i="4"/>
  <c r="D14" i="4"/>
  <c r="E28" i="81"/>
  <c r="J22" i="117"/>
  <c r="K22" i="117"/>
  <c r="H22" i="4"/>
  <c r="H44" i="47"/>
  <c r="F10" i="4"/>
  <c r="G31" i="4"/>
  <c r="E32" i="81"/>
  <c r="F12" i="4"/>
  <c r="E26" i="81"/>
  <c r="E20" i="81"/>
  <c r="C20" i="81"/>
  <c r="E19" i="4"/>
  <c r="E10" i="81"/>
  <c r="F15" i="4"/>
  <c r="C16" i="81"/>
  <c r="E15" i="4"/>
  <c r="E24" i="4"/>
  <c r="F24" i="4"/>
  <c r="D24" i="4"/>
  <c r="E21" i="81"/>
  <c r="D16" i="12"/>
  <c r="E19" i="81"/>
  <c r="C14" i="81"/>
  <c r="G57" i="134"/>
  <c r="J12" i="126"/>
  <c r="K12" i="126"/>
  <c r="I12" i="121"/>
  <c r="O33" i="81"/>
  <c r="J58" i="130"/>
  <c r="K76" i="130"/>
  <c r="J76" i="130"/>
  <c r="H37" i="134"/>
  <c r="G61" i="134"/>
  <c r="H61" i="134" s="1"/>
  <c r="G63" i="134"/>
  <c r="H63" i="134" s="1"/>
  <c r="H9" i="134"/>
  <c r="H14" i="134"/>
  <c r="G62" i="134"/>
  <c r="H11" i="134"/>
  <c r="K48" i="131"/>
  <c r="Q25" i="81"/>
  <c r="K43" i="131"/>
  <c r="G10" i="134"/>
  <c r="G16" i="134" s="1"/>
  <c r="K20" i="113"/>
  <c r="C16" i="12"/>
  <c r="E52" i="134"/>
  <c r="J12" i="137"/>
  <c r="E29" i="81"/>
  <c r="G17" i="4"/>
  <c r="E18" i="81"/>
  <c r="E12" i="81"/>
  <c r="G11" i="4"/>
  <c r="K43" i="127"/>
  <c r="K22" i="127"/>
  <c r="D15" i="81"/>
  <c r="C15" i="81"/>
  <c r="G19" i="4"/>
  <c r="G20" i="4"/>
  <c r="H34" i="134"/>
  <c r="F52" i="134"/>
  <c r="D14" i="81"/>
  <c r="D18" i="81"/>
  <c r="C18" i="81"/>
  <c r="G27" i="4"/>
  <c r="C52" i="134"/>
  <c r="J53" i="131"/>
  <c r="J79" i="131"/>
  <c r="J69" i="131"/>
  <c r="K38" i="131"/>
  <c r="J28" i="131"/>
  <c r="H50" i="134"/>
  <c r="D25" i="81"/>
  <c r="C25" i="81"/>
  <c r="G18" i="4"/>
  <c r="G28" i="4"/>
  <c r="I12" i="137"/>
  <c r="H15" i="134"/>
  <c r="K13" i="142"/>
  <c r="J13" i="142"/>
  <c r="G25" i="4"/>
  <c r="D13" i="81"/>
  <c r="C13" i="81"/>
  <c r="G9" i="4"/>
  <c r="J15" i="114"/>
  <c r="I22" i="114"/>
  <c r="D16" i="81"/>
  <c r="J10" i="114"/>
  <c r="K10" i="114"/>
  <c r="C11" i="81"/>
  <c r="D11" i="81"/>
  <c r="K17" i="131"/>
  <c r="J17" i="131"/>
  <c r="K23" i="131"/>
  <c r="J23" i="131"/>
  <c r="K15" i="127"/>
  <c r="J15" i="127"/>
  <c r="J70" i="127"/>
  <c r="K97" i="130"/>
  <c r="J12" i="121"/>
  <c r="J92" i="131"/>
  <c r="K92" i="131"/>
  <c r="J59" i="131"/>
  <c r="K33" i="131"/>
  <c r="J59" i="130"/>
  <c r="J69" i="130"/>
  <c r="K12" i="112"/>
  <c r="J12" i="112"/>
  <c r="K24" i="16"/>
  <c r="I17" i="125"/>
  <c r="J17" i="125"/>
  <c r="M14" i="81"/>
  <c r="K74" i="131"/>
  <c r="J74" i="131"/>
  <c r="H46" i="134"/>
  <c r="K9" i="131"/>
  <c r="J9" i="131"/>
  <c r="K22" i="120"/>
  <c r="J22" i="120"/>
  <c r="B64" i="134"/>
  <c r="K64" i="131"/>
  <c r="J64" i="131"/>
  <c r="K14" i="110"/>
  <c r="J14" i="110"/>
  <c r="J18" i="119"/>
  <c r="I18" i="119"/>
  <c r="K26" i="118"/>
  <c r="J26" i="118"/>
  <c r="J9" i="130"/>
  <c r="K9" i="130"/>
  <c r="J9" i="138"/>
  <c r="I25" i="138"/>
  <c r="K9" i="138"/>
  <c r="K27" i="127"/>
  <c r="J27" i="127"/>
  <c r="J36" i="109"/>
  <c r="K36" i="109"/>
  <c r="J89" i="130"/>
  <c r="K89" i="130"/>
  <c r="Q14" i="81"/>
  <c r="K48" i="130"/>
  <c r="J48" i="130"/>
  <c r="J64" i="130"/>
  <c r="K64" i="130"/>
  <c r="K9" i="113"/>
  <c r="J9" i="113"/>
  <c r="M13" i="81"/>
  <c r="G22" i="12"/>
  <c r="H22" i="12" s="1"/>
  <c r="H13" i="12"/>
  <c r="E31" i="81" l="1"/>
  <c r="J35" i="142"/>
  <c r="K35" i="142"/>
  <c r="K24" i="133"/>
  <c r="G16" i="4"/>
  <c r="J24" i="133"/>
  <c r="I23" i="126"/>
  <c r="E11" i="81"/>
  <c r="G29" i="4"/>
  <c r="E17" i="81"/>
  <c r="K23" i="117"/>
  <c r="J23" i="117"/>
  <c r="E30" i="81"/>
  <c r="H31" i="4"/>
  <c r="E22" i="81"/>
  <c r="H25" i="4"/>
  <c r="E25" i="81"/>
  <c r="G13" i="4"/>
  <c r="E14" i="81"/>
  <c r="H62" i="134"/>
  <c r="F64" i="134"/>
  <c r="J22" i="130"/>
  <c r="K22" i="130"/>
  <c r="E16" i="81"/>
  <c r="H19" i="4"/>
  <c r="B33" i="81"/>
  <c r="H20" i="4"/>
  <c r="H11" i="4"/>
  <c r="H27" i="4"/>
  <c r="E32" i="4"/>
  <c r="G24" i="4"/>
  <c r="H18" i="4"/>
  <c r="H28" i="4"/>
  <c r="G30" i="4"/>
  <c r="G21" i="4"/>
  <c r="C33" i="81"/>
  <c r="F32" i="4"/>
  <c r="J22" i="114"/>
  <c r="K22" i="114"/>
  <c r="G15" i="4"/>
  <c r="D33" i="81"/>
  <c r="G10" i="4"/>
  <c r="D32" i="4"/>
  <c r="J57" i="127"/>
  <c r="K57" i="127"/>
  <c r="M33" i="81"/>
  <c r="G30" i="12"/>
  <c r="H30" i="12" s="1"/>
  <c r="K24" i="113"/>
  <c r="J24" i="113"/>
  <c r="K25" i="138"/>
  <c r="J25" i="138"/>
  <c r="J10" i="126"/>
  <c r="K10" i="126"/>
  <c r="K32" i="110"/>
  <c r="J32" i="110"/>
  <c r="H17" i="4"/>
  <c r="H9" i="4"/>
  <c r="K113" i="130"/>
  <c r="J113" i="130"/>
  <c r="H33" i="134"/>
  <c r="G40" i="134"/>
  <c r="H40" i="134" s="1"/>
  <c r="K100" i="131"/>
  <c r="J100" i="131"/>
  <c r="E13" i="81" l="1"/>
  <c r="H16" i="4"/>
  <c r="H29" i="4"/>
  <c r="H13" i="4"/>
  <c r="H24" i="4"/>
  <c r="G58" i="134"/>
  <c r="H58" i="134" s="1"/>
  <c r="H10" i="134"/>
  <c r="H16" i="134"/>
  <c r="H15" i="4"/>
  <c r="H10" i="4"/>
  <c r="E35" i="4"/>
  <c r="H30" i="4"/>
  <c r="H21" i="4"/>
  <c r="G12" i="4"/>
  <c r="F35" i="4"/>
  <c r="D35" i="4"/>
  <c r="H57" i="134"/>
  <c r="K23" i="126"/>
  <c r="J23" i="126"/>
  <c r="F47" i="47" l="1"/>
  <c r="E47" i="47"/>
  <c r="H12" i="4"/>
  <c r="E72" i="47" l="1"/>
  <c r="D72" i="47"/>
  <c r="F72" i="47"/>
  <c r="G60" i="134"/>
  <c r="G59" i="134"/>
  <c r="Q33" i="81"/>
  <c r="E80" i="47" l="1"/>
  <c r="F80" i="47"/>
  <c r="F15" i="12"/>
  <c r="F17" i="12" s="1"/>
  <c r="F19" i="12" s="1"/>
  <c r="F32" i="12" s="1"/>
  <c r="E15" i="12"/>
  <c r="E17" i="12" s="1"/>
  <c r="E19" i="12" s="1"/>
  <c r="E32" i="12" s="1"/>
  <c r="D80" i="47"/>
  <c r="D15" i="12"/>
  <c r="D17" i="12" s="1"/>
  <c r="D19" i="12" s="1"/>
  <c r="D32" i="12" s="1"/>
  <c r="H48" i="134"/>
  <c r="H60" i="134"/>
  <c r="H47" i="134"/>
  <c r="G52" i="134"/>
  <c r="H52" i="134" s="1"/>
  <c r="E82" i="47" l="1"/>
  <c r="F82" i="47"/>
  <c r="D82" i="47"/>
  <c r="H59" i="134"/>
  <c r="G64" i="134"/>
  <c r="C44" i="47"/>
  <c r="C30" i="12"/>
  <c r="J51" i="127"/>
  <c r="H64" i="134" l="1"/>
  <c r="K51" i="127"/>
  <c r="E15" i="81" l="1"/>
  <c r="E33" i="81" s="1"/>
  <c r="J76" i="127"/>
  <c r="G14" i="4"/>
  <c r="K76" i="127"/>
  <c r="H14" i="4" l="1"/>
  <c r="G32" i="4"/>
  <c r="G47" i="47" l="1"/>
  <c r="H47" i="47" s="1"/>
  <c r="H32" i="4"/>
  <c r="G72" i="47" l="1"/>
  <c r="I27" i="80"/>
  <c r="H72" i="47" l="1"/>
  <c r="G16" i="12"/>
  <c r="H16" i="12" s="1"/>
  <c r="I34" i="80"/>
  <c r="G80" i="47"/>
  <c r="G15" i="12" l="1"/>
  <c r="G82" i="47"/>
  <c r="H80" i="47"/>
  <c r="G17" i="12" l="1"/>
  <c r="G19" i="12" s="1"/>
  <c r="H15" i="12"/>
  <c r="H17" i="12" l="1"/>
  <c r="H19" i="12"/>
  <c r="G32" i="12"/>
  <c r="C34" i="80"/>
  <c r="D22" i="114"/>
  <c r="B14" i="4"/>
  <c r="B16" i="12" l="1"/>
  <c r="B15" i="4"/>
  <c r="B32" i="4" s="1"/>
  <c r="B35" i="4" l="1"/>
  <c r="B47" i="47" l="1"/>
  <c r="B72" i="47" s="1"/>
  <c r="B15" i="12" s="1"/>
  <c r="B17" i="12" s="1"/>
  <c r="B19" i="12" s="1"/>
  <c r="B32" i="12" s="1"/>
  <c r="B80" i="47" l="1"/>
  <c r="B82" i="47" s="1"/>
  <c r="E76" i="127"/>
  <c r="C14" i="4" l="1"/>
  <c r="C32" i="4" s="1"/>
  <c r="C35" i="4" l="1"/>
  <c r="C47" i="47" l="1"/>
  <c r="C72" i="47" s="1"/>
  <c r="C15" i="12" l="1"/>
  <c r="C17" i="12" s="1"/>
  <c r="C19" i="12" s="1"/>
  <c r="C32" i="12" s="1"/>
  <c r="C80" i="47"/>
  <c r="C82" i="47" l="1"/>
</calcChain>
</file>

<file path=xl/sharedStrings.xml><?xml version="1.0" encoding="utf-8"?>
<sst xmlns="http://schemas.openxmlformats.org/spreadsheetml/2006/main" count="1811" uniqueCount="575">
  <si>
    <t>v tis. Kč</t>
  </si>
  <si>
    <t>Ukazatel</t>
  </si>
  <si>
    <t>Příjmy</t>
  </si>
  <si>
    <t>Podíly na daních (třída 1)</t>
  </si>
  <si>
    <t>Příjmy z úroků na bankovních účtech (třída 2)</t>
  </si>
  <si>
    <t>Příjmy z pronájmu majetku příspěvkových organizací (třída 2)</t>
  </si>
  <si>
    <t>Příjmy z prodeje majetku (třída 3)</t>
  </si>
  <si>
    <t>Finanční dotační vztah státního rozpočtu k rozpočtu kraje na výkon přenesené působnosti (třída 4)</t>
  </si>
  <si>
    <t>Dotace ze státního rozpočtu - školství (třída 4)</t>
  </si>
  <si>
    <t>Příjmy celkem</t>
  </si>
  <si>
    <t>Financování ve zdrojích</t>
  </si>
  <si>
    <t>Zdroje celkem</t>
  </si>
  <si>
    <t>V ý d a j e</t>
  </si>
  <si>
    <t>Běžné výdaje kapitol</t>
  </si>
  <si>
    <t>Výdaje celkem</t>
  </si>
  <si>
    <t>Financování ve výdajích</t>
  </si>
  <si>
    <t>Splátky přijatého úvěru kraje (jistina)</t>
  </si>
  <si>
    <t>Celková bilance hospodaření</t>
  </si>
  <si>
    <t>01</t>
  </si>
  <si>
    <t>Středočeský Fond podpory dobrovolných hasičů a složek IZS</t>
  </si>
  <si>
    <t>06</t>
  </si>
  <si>
    <t xml:space="preserve">Středočeský Fond kultury a obnovy památek </t>
  </si>
  <si>
    <t>10</t>
  </si>
  <si>
    <t xml:space="preserve">Středočeský Fond životního prostředí a zemědělství </t>
  </si>
  <si>
    <t>17</t>
  </si>
  <si>
    <t>Kapitola</t>
  </si>
  <si>
    <t xml:space="preserve">01 - Činnost zastupitelstva </t>
  </si>
  <si>
    <t>02 - Činnost krajského úřadu</t>
  </si>
  <si>
    <t>03 - Informatika</t>
  </si>
  <si>
    <t>04 - Doprava</t>
  </si>
  <si>
    <t>06 - Kultura a památková péče</t>
  </si>
  <si>
    <t>07 - Zdravotnictví</t>
  </si>
  <si>
    <t>08 - Regionální rozvoj</t>
  </si>
  <si>
    <t>09 - Evropská integrace</t>
  </si>
  <si>
    <t>10 - Životní prostředí a zemědělství</t>
  </si>
  <si>
    <t>11 - Správa majetku</t>
  </si>
  <si>
    <t>13 - Krajský investor</t>
  </si>
  <si>
    <t>17 - Sociální věci</t>
  </si>
  <si>
    <t>23 - Ostatní</t>
  </si>
  <si>
    <t xml:space="preserve">Přehled běžných výdajů jednotlivých kapitol </t>
  </si>
  <si>
    <t xml:space="preserve">Sumář příjmů a výdajů </t>
  </si>
  <si>
    <t>Financování celkem</t>
  </si>
  <si>
    <t>Saldo (příjmy - výdaje)</t>
  </si>
  <si>
    <t xml:space="preserve">Výdaje celkem </t>
  </si>
  <si>
    <t>Třída 3 - Kapitálové příjmy</t>
  </si>
  <si>
    <t>Třída 2 - Nedaňové příjmy</t>
  </si>
  <si>
    <t>Třída 1 - Daňové příjmy</t>
  </si>
  <si>
    <t xml:space="preserve">Celková bilance hospodaření </t>
  </si>
  <si>
    <t xml:space="preserve">Splátky úroků z přijatého úvěru kraje </t>
  </si>
  <si>
    <t>Středočeské Fondy - grantové a dotační výdaje kapitol</t>
  </si>
  <si>
    <t>Havarijní fond pro ochranu jakosti vod SK (kapitola 10)</t>
  </si>
  <si>
    <t>Dotace ze státního rozpočtu - školství (kapitola 05)</t>
  </si>
  <si>
    <t>14 - Řízení lidských zdrojů</t>
  </si>
  <si>
    <t>16 - Správní agendy</t>
  </si>
  <si>
    <t>Správní poplatky (třída 1)</t>
  </si>
  <si>
    <t>Dluhová služba za úvěr kraje celkem</t>
  </si>
  <si>
    <t>Středočeské Fondy celkem</t>
  </si>
  <si>
    <t>Běžné výdaje kapitol celkem</t>
  </si>
  <si>
    <t>-</t>
  </si>
  <si>
    <t>Dotace ze státního rozpočtu - ostatní oblasti rozpočtu (třída 4)</t>
  </si>
  <si>
    <t>Příjmy z převodu z účtů a z fondů (třída 4)</t>
  </si>
  <si>
    <t>Ostatní nedaňové příjmy (třída 2)</t>
  </si>
  <si>
    <t xml:space="preserve">Dotace ze státního rozpočtu - ostatní oblasti rozpočtu </t>
  </si>
  <si>
    <t>Finanční vypořádání minulých let se státním rozpočtem (kapitola 21)</t>
  </si>
  <si>
    <t>20 - Sociální fond</t>
  </si>
  <si>
    <t>Zapojení zůstatku hospodaření z minulých let *)</t>
  </si>
  <si>
    <t>Opravné položky</t>
  </si>
  <si>
    <t>07</t>
  </si>
  <si>
    <t>Středočeské Fondy v rámci jednotlivých kapitol</t>
  </si>
  <si>
    <t>Celkem běžné výdaje kapitol po konsolidaci</t>
  </si>
  <si>
    <t>Dotace ze státního rozpočtu a ostatních veřejných rozpočtů</t>
  </si>
  <si>
    <t>Dluhová služba za úvěr nemocnic</t>
  </si>
  <si>
    <t>Kapitálové výdaje</t>
  </si>
  <si>
    <t>Třída 5 - Běžné výdaje</t>
  </si>
  <si>
    <t>Třída 6 - Kapitálové výdaje</t>
  </si>
  <si>
    <t>Kapitálové výdaje celkem</t>
  </si>
  <si>
    <t>Středočeský Humanitární fond</t>
  </si>
  <si>
    <t>Středočeský Fond obnovy venkova</t>
  </si>
  <si>
    <t>15 - Územní a stavební řízení</t>
  </si>
  <si>
    <t>18 - Legislativně právní</t>
  </si>
  <si>
    <t>24 - Podpora příspěvkových organizací</t>
  </si>
  <si>
    <t>25 - Bezpečnost a prevence</t>
  </si>
  <si>
    <t>Celkem</t>
  </si>
  <si>
    <t>Běžné výdaje celkem</t>
  </si>
  <si>
    <t>z toho: výdaje na opravy a údržbu majetku</t>
  </si>
  <si>
    <t>Paragraf</t>
  </si>
  <si>
    <t>Poplatky za znečišťování ovzduší (třída 1)</t>
  </si>
  <si>
    <t>Název</t>
  </si>
  <si>
    <t>09</t>
  </si>
  <si>
    <t>Třída 4 - Přijaté transfery</t>
  </si>
  <si>
    <t xml:space="preserve">Zůstatek hospodaření z minulého roku </t>
  </si>
  <si>
    <t>05 - Školství</t>
  </si>
  <si>
    <t>z toho:</t>
  </si>
  <si>
    <t xml:space="preserve">01 - Činnost Zastupitelstva </t>
  </si>
  <si>
    <t>02 - Činnost Krajského úřadu</t>
  </si>
  <si>
    <t>Předfinancování a kofinancování projektů spolufinancovaných z národních zdrojů a ostatní související výdaje s projekty z národních zdrojů</t>
  </si>
  <si>
    <t>Kapitola 23 - Ostatní</t>
  </si>
  <si>
    <t>Oblast rozpočtu</t>
  </si>
  <si>
    <t xml:space="preserve">Běžné výdaje </t>
  </si>
  <si>
    <t>Činnost regionální správy</t>
  </si>
  <si>
    <t>Obecné příjmy a výdaje z finančních operací</t>
  </si>
  <si>
    <t>Ostatní finanční operace</t>
  </si>
  <si>
    <t>Schválený rozpočet</t>
  </si>
  <si>
    <t xml:space="preserve">Schválený rozpočet </t>
  </si>
  <si>
    <t>Školení příspěvkových organizací</t>
  </si>
  <si>
    <t>Silnice</t>
  </si>
  <si>
    <t>Ostatní záležitosti v dopravě</t>
  </si>
  <si>
    <t>Gymnázia</t>
  </si>
  <si>
    <t>Střední odborné školy</t>
  </si>
  <si>
    <t>Dětské domovy</t>
  </si>
  <si>
    <t>Územní rozvoj</t>
  </si>
  <si>
    <t>Chráněné části přírody</t>
  </si>
  <si>
    <t>Domovy pro seniory</t>
  </si>
  <si>
    <t>Zastupitelstva krajů</t>
  </si>
  <si>
    <t>Kapitola 05 - Školství</t>
  </si>
  <si>
    <t>Mateřské školy pro děti se speciálními vzdělávacími potřebami</t>
  </si>
  <si>
    <t>Základní školy pro žáky se speciálními vzdělávacími potřebami</t>
  </si>
  <si>
    <t>Střední školy poskytující střední vzdělání s výučním listem</t>
  </si>
  <si>
    <t>Zařízení výchovného poradenství</t>
  </si>
  <si>
    <t>Základní umělecké školy</t>
  </si>
  <si>
    <t>Ostatní správa ve vzdělávání jinde nezařazená</t>
  </si>
  <si>
    <t>3294</t>
  </si>
  <si>
    <t>Zařízení pro další vzdělávání  pedagogických pracovníků</t>
  </si>
  <si>
    <t>Využití volného času dětí a mládeže</t>
  </si>
  <si>
    <t>příspěvek na provoz</t>
  </si>
  <si>
    <t>příspěvek na běžné opravy a udržování</t>
  </si>
  <si>
    <t>Provoz škol - nájemné</t>
  </si>
  <si>
    <t>3269</t>
  </si>
  <si>
    <t>Velké opravy a havárie</t>
  </si>
  <si>
    <t>Sportovní centra mládeže</t>
  </si>
  <si>
    <t>Podpora zahraničních aktivit škol</t>
  </si>
  <si>
    <t>Prevence patologických jevů</t>
  </si>
  <si>
    <t>Ochrana obyvatelstva</t>
  </si>
  <si>
    <t>Krizová opatření</t>
  </si>
  <si>
    <t>Záležitosti krizového řízení jinde nezařazené</t>
  </si>
  <si>
    <t>výdaje na opravy a údržbu majetku</t>
  </si>
  <si>
    <t>Kapitola 11 - Správa majetku</t>
  </si>
  <si>
    <t>Bytové hospodářství</t>
  </si>
  <si>
    <t>výdaje na běžné opravy a udržování</t>
  </si>
  <si>
    <t>Nebytové hospodářství</t>
  </si>
  <si>
    <t>Kapitola 10 - Životní prostředí a zemědělství</t>
  </si>
  <si>
    <t>Ostatní zemědělská a potravinářská činnost a rozvoj</t>
  </si>
  <si>
    <t>Monitoring ochrany ovzduší</t>
  </si>
  <si>
    <t>Prevence vzniku odpadů</t>
  </si>
  <si>
    <t>Ostatní nakládání s odpady</t>
  </si>
  <si>
    <t>Ochrana druhů a stanovišť</t>
  </si>
  <si>
    <t>Ostatní správa v ochraně životního prostředí</t>
  </si>
  <si>
    <t>Ekologická výchova a osvěta</t>
  </si>
  <si>
    <t>Ostatní ekologické záležitosti</t>
  </si>
  <si>
    <t>Kapitola 03 - Informatika</t>
  </si>
  <si>
    <t>Kapitola 17 - Sociální věci</t>
  </si>
  <si>
    <t>Odborné sociální poradenství - příspěvek příspěvkovým organizacím</t>
  </si>
  <si>
    <t>Ostatní sociální péče a pomoc rodině a manželství</t>
  </si>
  <si>
    <t>Sociální rehabilitace - příspěvek příspěvkovým organizacím</t>
  </si>
  <si>
    <t>Domovy pro seniory - příspěvek příspěvkovým organizacím</t>
  </si>
  <si>
    <t>Osobní asistence, pečovatelská služba a podpora samostatného bydlení - příspěvek příspěvkovým organizacím</t>
  </si>
  <si>
    <t>Chráněné bydlení - příspěvek příspěvkovým organizacím</t>
  </si>
  <si>
    <t>Týdenní stacionáře - příspěvek příspěvkovým organizacím</t>
  </si>
  <si>
    <t>Denní stacionáře a centra denních služeb - příspěvek příspěvkovým organizacím</t>
  </si>
  <si>
    <t>Domovy pro osoby se zdravotním postižením a domovy se zvláštním režimem - příspěvek příspěvkovým organizacím</t>
  </si>
  <si>
    <t>Ostatní správa v sociálním zabezpečení a politice zaměstnanosti</t>
  </si>
  <si>
    <t>Služby následné péče, terapeutické komunity a kontaktní centra - příspěvek příspěvkovým organizacím</t>
  </si>
  <si>
    <t>Sociálně terapeutické dílny - příspěvek příspěvkovým organizacím</t>
  </si>
  <si>
    <t>Terénní programy - příspěvek příspěvkovým organizacím</t>
  </si>
  <si>
    <t>Ostatní služby a činnosti v oblasti sociální prevence - příspěvek příspěvkovým organizacím</t>
  </si>
  <si>
    <t>Ostatní záležitosti sociálních věcí a politiky zaměstnanosti</t>
  </si>
  <si>
    <t>Ostatní záležitosti sociálních věcí a politiky zaměstnanosti - POSEZ</t>
  </si>
  <si>
    <t>Havárie a opravy</t>
  </si>
  <si>
    <t xml:space="preserve"> </t>
  </si>
  <si>
    <t>Kapitola 09 - Evropská integrace</t>
  </si>
  <si>
    <t>Vesnice roku</t>
  </si>
  <si>
    <t xml:space="preserve">Kapitola 08 - Regionální rozvoj </t>
  </si>
  <si>
    <t>Příprava a udržitelnost projektů regionálního rozvoje</t>
  </si>
  <si>
    <t>Strategické dokumenty</t>
  </si>
  <si>
    <t>Místní akční skupiny</t>
  </si>
  <si>
    <t>Klub českých turistů</t>
  </si>
  <si>
    <t>Středočeské inovační centrum</t>
  </si>
  <si>
    <t>Kapitola 13 - Krajský investor</t>
  </si>
  <si>
    <t>Bezpečnost silničního provozu</t>
  </si>
  <si>
    <t>Činnost muzeí a galerií</t>
  </si>
  <si>
    <t>Domovy pro osoby se zdravotním postižením a domovy se zvláštním režimem</t>
  </si>
  <si>
    <t>Kapitola 25 - Bezpečnost a prevence</t>
  </si>
  <si>
    <t xml:space="preserve">Podpora kvality škol a rozvojové projekty </t>
  </si>
  <si>
    <t>Převody vlastním fondům v rozpočtech územní úrovně</t>
  </si>
  <si>
    <t>Podpora podnikání - příspěvek příspěvkové organizaci Regionální dotační kancelář</t>
  </si>
  <si>
    <t>Kapitola 06 - Kultura a památková péče</t>
  </si>
  <si>
    <t xml:space="preserve">Činnosti knihovnické - příspěvek příspěvkovým organizacím </t>
  </si>
  <si>
    <t xml:space="preserve">Činnosti muzeí a galerií - příspěvek příspěvkovým organizacím </t>
  </si>
  <si>
    <t xml:space="preserve">Činnosti památkových ústavů, hradů a zámků - příspěvek příspěvkovým organizacím </t>
  </si>
  <si>
    <t xml:space="preserve">Vědecko-výzkumné archeologické projekty </t>
  </si>
  <si>
    <t>Středočeská vědecká knihovna v Kladně</t>
  </si>
  <si>
    <t>Městská knihovna Benešov</t>
  </si>
  <si>
    <t>Městská knihovna Kutná Hora</t>
  </si>
  <si>
    <t>Knihovna města Mladá Boleslav</t>
  </si>
  <si>
    <t>Knihovna Jana Drdy Příbram</t>
  </si>
  <si>
    <t>Podpora živé kultury</t>
  </si>
  <si>
    <t>Stavba roku</t>
  </si>
  <si>
    <t>Dny lidové architektury</t>
  </si>
  <si>
    <t>Metodická a koncepční činnost odboru</t>
  </si>
  <si>
    <t>Lékařská služba první pomoci</t>
  </si>
  <si>
    <t>Zdravotnická záchranná služba - příspěvek příspěvkovým organizacím</t>
  </si>
  <si>
    <t>Ostatní činnost ve zdravotnictví - odbor</t>
  </si>
  <si>
    <t>Ostatní činnost ve zdravotnictví - nehrazené činnosti ze zdravotního pojištění</t>
  </si>
  <si>
    <t>Kapitola 07 - Zdravotnictví</t>
  </si>
  <si>
    <t>Kapitola 04 - Doprava</t>
  </si>
  <si>
    <t xml:space="preserve">Silnice - příspěvek příspěvkové organizaci Krajská správa a údržba silnic Středočeského kraje </t>
  </si>
  <si>
    <t>Ostatní záležitosti vnitrozemské plavby - dotace přívozy</t>
  </si>
  <si>
    <t>Středočeský Fond návratných finančních zdrojů</t>
  </si>
  <si>
    <t>501 platy</t>
  </si>
  <si>
    <t xml:space="preserve">Příspěvky zřízeným příspěvkovým organizacím </t>
  </si>
  <si>
    <t>Příspěvek na běžné opravy a udržování zřízeným příspěvkovým organizacím celkem</t>
  </si>
  <si>
    <t xml:space="preserve">Ostatní ústavní péče (dětská centra) - příspěvek příspěvkovým organizacím </t>
  </si>
  <si>
    <t>25</t>
  </si>
  <si>
    <t>Opravné položky k peněžním operacím</t>
  </si>
  <si>
    <t>Požární ochrana - dobrovolná část</t>
  </si>
  <si>
    <t>Ostatní správa v oblasti krizového řízení</t>
  </si>
  <si>
    <t>04</t>
  </si>
  <si>
    <t>Specifické rezervy - vedené na kapitole 23 - Ostatní</t>
  </si>
  <si>
    <t>Středočeský Fond sportu a volného času</t>
  </si>
  <si>
    <t xml:space="preserve">Středočeský Fond sportu a volného času </t>
  </si>
  <si>
    <t>Středočeský Fond prevence</t>
  </si>
  <si>
    <t>Specifické rezervy celkem</t>
  </si>
  <si>
    <t>Kapitola 15 - Územní a stavební řízení</t>
  </si>
  <si>
    <t xml:space="preserve">Kapitola 18 - Legislativně právní </t>
  </si>
  <si>
    <t>Kapitola 01 - Činnost Zastupitelstva</t>
  </si>
  <si>
    <t>Kapitola 02 - Činnost Krajského úřadu</t>
  </si>
  <si>
    <t xml:space="preserve">07 - Zdravotnictví   </t>
  </si>
  <si>
    <t xml:space="preserve">Příspěvek na provoz zřízeným příspěvkovým organizacím celkem </t>
  </si>
  <si>
    <t>590 ostatní neinvestiční výdaje</t>
  </si>
  <si>
    <t>příspěvek na provoz (jízdenkové kotouče, MOS)</t>
  </si>
  <si>
    <t>Konsolidace Sociálního fondu</t>
  </si>
  <si>
    <t>Středočeský Fond kultury a obnovy památek</t>
  </si>
  <si>
    <t>Středočeský Fond životního prostředí a zemědělství</t>
  </si>
  <si>
    <t>TABULKOVÁ ČÁST</t>
  </si>
  <si>
    <t>Střediska praktického vyučování a školní hospodářství</t>
  </si>
  <si>
    <t>Výdaje na havárie (kapitola 23)</t>
  </si>
  <si>
    <t>Výdaje na reprodukci majetku příspěvkových organizací - financované z vybraných příjmů z pronájmu (kapitola 23)</t>
  </si>
  <si>
    <t>Výdaje dle programů (kapitola 23)</t>
  </si>
  <si>
    <t>Specifické rezervy (kapitola 23)</t>
  </si>
  <si>
    <t>Kapitola 24 - Podpora příspěvkových organizací</t>
  </si>
  <si>
    <t>Kapitola 14 - Řízení lidských zdrojů</t>
  </si>
  <si>
    <t xml:space="preserve">Dluhová služba za úvěry Středočeského kraje </t>
  </si>
  <si>
    <t>514 úroky a ostatní finanční výdaje</t>
  </si>
  <si>
    <t>536 ostatní neinvestiční transfery jiným veřejným rozpočtům, platby daní a další povinné platby</t>
  </si>
  <si>
    <t>Ostatní služby a činnosti v oblasti sociální péče - příspěvek příspěvkovým organizacím</t>
  </si>
  <si>
    <t>Azylové domy, nízkoprahová denní centra a noclehárny - příspěvek příspěvkovým organizacím</t>
  </si>
  <si>
    <t>Účinnější péče o tradiční lidovou kulturu</t>
  </si>
  <si>
    <t>Humanitární zahraniční pomoc přímá</t>
  </si>
  <si>
    <t>Konečná splatnost</t>
  </si>
  <si>
    <t>Limit úvěru</t>
  </si>
  <si>
    <t xml:space="preserve">Prevence před drogami, alkoholem, nikotinem a jinými závislostmi </t>
  </si>
  <si>
    <t>Kapitálové (investiční) výdaje zařazené v Zásobníku investic hrazené z úvěru přijatého od EIB (kapitola 12)</t>
  </si>
  <si>
    <t>Ostatní činnosti jinde nezařazené - Sociální fond</t>
  </si>
  <si>
    <t>Splátky návratných finančních výpomocí OSVČ v souvislostí s pandemií COVID-19 (třída 2)</t>
  </si>
  <si>
    <t>Rozvoj edukačních programů pro příspěvkové organizace</t>
  </si>
  <si>
    <t>Kapitola 26 - Veřejná mobilita</t>
  </si>
  <si>
    <t>Kapitola 27 - Digitalizace</t>
  </si>
  <si>
    <t>26 - Veřejná mobilita</t>
  </si>
  <si>
    <t>27 - Digitalizace</t>
  </si>
  <si>
    <t>05</t>
  </si>
  <si>
    <t>Středočeský Fond na podporu obecního bydlení</t>
  </si>
  <si>
    <t>Středočeský Fond na podporu participativních rozpočtu obcí a měst</t>
  </si>
  <si>
    <t>26</t>
  </si>
  <si>
    <t>Středočeský Fond cyklistické infrastruktury</t>
  </si>
  <si>
    <t>Mezinárodní spolupráce ve vzdělávání</t>
  </si>
  <si>
    <t>Prevence před drogami, alkoholem, nikotinem a jinými závislostmi</t>
  </si>
  <si>
    <t>Sportovní soutěže</t>
  </si>
  <si>
    <t>Základní školy</t>
  </si>
  <si>
    <t>Ostatní sportovní činnost</t>
  </si>
  <si>
    <t>Olympiáda dětí a mládeže</t>
  </si>
  <si>
    <t>Účelové neinvestiční dotace nestátním neziskovým organizacím</t>
  </si>
  <si>
    <t>Středočeský Fond homogenizace krajské dopravní infrastruktury</t>
  </si>
  <si>
    <t xml:space="preserve">Ostatní záležitosti sociálních věcí a politiky zaměstnanosti </t>
  </si>
  <si>
    <t>Strategie rozvoje kraje</t>
  </si>
  <si>
    <t xml:space="preserve">Dopravní obslužnost veřejnými službami - linková </t>
  </si>
  <si>
    <t>Dopravní obslužnost veřejnými službami - drážní</t>
  </si>
  <si>
    <t>Společně ostatní kapitoly bez stanoveného limitu na přípravu</t>
  </si>
  <si>
    <t>Kapitoly celkem</t>
  </si>
  <si>
    <t>Ostatní záležitosti pozemních komunikací -  Cyklodoprava</t>
  </si>
  <si>
    <t>Středočeský Fond hejtmanky</t>
  </si>
  <si>
    <t>Středočeský Humanitární fond - oblast zdravotnická</t>
  </si>
  <si>
    <t>Kapitálové (investiční) výdaje zařazené v Zásobníku investic hrazené z vlastních zdrojů kraje (kapitola 12 - Investiční výdaje)</t>
  </si>
  <si>
    <t>Kapitálové (investiční) výdaje zařazené v Zásobníku investic hrazené z úvěru přijatého od EIB (kapitola 12 - Investiční výdaje)</t>
  </si>
  <si>
    <t>prodloužení životnosti kobercových úprav po záruce (nátěry, mikrokoberce apod.)</t>
  </si>
  <si>
    <t>Čerpání bankovního úvěru - Komerční banka, a.s. (z roku 2021)</t>
  </si>
  <si>
    <t>Čerpání bankovního úvěru  - Česká spořitelna a.s. (z roku 2021)</t>
  </si>
  <si>
    <t>Splátky přijatého úvěru - Komerční banka, a.s. (z roku 2020) - jistina</t>
  </si>
  <si>
    <t>Labská stezka</t>
  </si>
  <si>
    <t>Středočeský Fond podpory cestovního ruchu</t>
  </si>
  <si>
    <t>Archeologické výzkumy a nálezy</t>
  </si>
  <si>
    <t>Záležitosti vodních toků a vodohospodářských děl jinde nezařazené</t>
  </si>
  <si>
    <t>519 výdaje související s neinvestičními nákupy, příspěvky, náhrady a věcné dary</t>
  </si>
  <si>
    <t>Splátky přijatého úvěru - Komerční banka, a.s. (z roku 2007) - jistina</t>
  </si>
  <si>
    <t>Regionální funkce statutárních divadel na území SK (Městské divadlo Mladá Boleslav, Divadlo A. Dvořáka v Příbrami, Městské divadlo Kladno, Loutkové divadlo Lampion)</t>
  </si>
  <si>
    <t>Kofinancování projektů spolufinancovaných z národních zdrojů a ostatní související výdaje s projekty z národních zdrojů (kapitola 23)</t>
  </si>
  <si>
    <t>Kofinancování projektů spolufinancovaných z EU/EHP a ostatní související výdaje s projekty EU/EHP (kapitola 23) – programové období 2014 - 2020</t>
  </si>
  <si>
    <t>Kofinancování projektů spolufinancovaných z EU/EHP a ostatní související výdaje s projekty EU/EHP (kapitola 23) – programové období 2021 - 2027</t>
  </si>
  <si>
    <t>Bilance předfinancování projektů spolufinancovaných z EU/EHP a národních zdrojů</t>
  </si>
  <si>
    <t>Výdaje:</t>
  </si>
  <si>
    <t>Bilance kofinancování projektů spolufinancovaných z EU/EHP a národních zdrojů</t>
  </si>
  <si>
    <t xml:space="preserve">Kofinancování projektů spolufinancovaných z EU/EHP a ostatní související výdaje s projekty EU/EHP (kapitola 23) - hrazené z úvěru přijatého od EIB </t>
  </si>
  <si>
    <t>Čerpání přijatého úvěru od České spořitelny, a.s. v roce 2021 (předfinancování projektů spolufinancovaných z EU/EHP a národních zdrojů)</t>
  </si>
  <si>
    <t>Čerpání přijatého úvěru od Komerční banky, a.s. v roce 2021 (kofinancování projektů spolufinancovaných z EU/EHP a národních zdrojů)</t>
  </si>
  <si>
    <t>Splátky přijatého úvěru od České spořitelny a.s. v roce 2019 (předfinancování projektů spolufinancovaných z EU/EHP) - jistina</t>
  </si>
  <si>
    <t>Splátky přijatého úvěru od Komerční banky a.s. v roce 2007 (financování investičních akcí)</t>
  </si>
  <si>
    <t>Splátky přijatého úvěru od Komerční banky a.s. v roce 2020 (financování návratných finančních výpomocí - živnostníci)</t>
  </si>
  <si>
    <t>Činnosti knihovnické</t>
  </si>
  <si>
    <t>Poplatky za odebrané množství podzemní vody (třída 1)</t>
  </si>
  <si>
    <t>Čerpání přijatého úvěru  - Evropská investiční banka (z roku 2020 a 2021)</t>
  </si>
  <si>
    <t>Splátky úroků z přijatých úvěrů kraje (kapitola 23)</t>
  </si>
  <si>
    <t>Dluhová služba za úvěr nemocnic (kapitola 07)</t>
  </si>
  <si>
    <t>Kulturní politika Středočeského kraje</t>
  </si>
  <si>
    <t>Činnosti muzeí a galerií</t>
  </si>
  <si>
    <t>Inovační projekty v oblasti digitalizace</t>
  </si>
  <si>
    <t>Kapitálové výdaje zařazené v kapitolách</t>
  </si>
  <si>
    <t>Přijaté sankční platby (třída 2)</t>
  </si>
  <si>
    <t>Ostatní záležitosti kultury</t>
  </si>
  <si>
    <t>Kapitálové výdaje v kapitolách celkem</t>
  </si>
  <si>
    <t>5599</t>
  </si>
  <si>
    <t>Zůstatek prostředků z minulého roku z poplatků za odběr podzemních vod - účelové prostředky Havarijního fondu pro ochranu jakosti vod SK</t>
  </si>
  <si>
    <t>3522</t>
  </si>
  <si>
    <t xml:space="preserve">Výdaje na semináře a prezentace činností v oblasti regionálního rozvoje </t>
  </si>
  <si>
    <t>x</t>
  </si>
  <si>
    <t xml:space="preserve">ROZPOČET STŘEDOČESKÉHO KRAJE </t>
  </si>
  <si>
    <t>Dar pro Hasičský záchranný sbor Středočeského kraje</t>
  </si>
  <si>
    <t>Kapitálové (investiční)  výdaje  zařazené v Zásobníku investic hrazené z vlastních zdrojů kraje (kapitola 12)</t>
  </si>
  <si>
    <r>
      <t xml:space="preserve">Smlouva o úvěru uzavřená s Komerční bankou, a.s. dne 12. 9. 2007 </t>
    </r>
    <r>
      <rPr>
        <sz val="11"/>
        <rFont val="Calibri"/>
        <family val="2"/>
        <charset val="238"/>
        <scheme val="minor"/>
      </rPr>
      <t>(financování investic v oblasti dopravy, zdravotnictví, životního prostředí, sociálních věcí, projektů spolufinancovaných strukturálními fondy EU, ..)</t>
    </r>
  </si>
  <si>
    <t xml:space="preserve">*) změna stavu finančních prostředků na účtech představuje ve schváleném a upraveném rozpočtu zapojení prostředků (zůstatku) z minulých let. Ve skutečnosti představuje financování změnu stavu na bankovních účtech. Příjmy - výdaje = přebytek(+) / schodek(-) = financování -/+. Tzn. rozpočet přebytkový tj. kladný rozdíl mezi příjmy a výdaji, financování je rovno minus (stav ke konci vykazovaného období je vyšší než stav k 1.1.), rozpočet schodkový, tj. záporný rozdíl příjmů a výdajů, financování je plusové (stav vykazovaného období je nižší než stav k 1.1.). </t>
  </si>
  <si>
    <t>Rozpočtová kapitola</t>
  </si>
  <si>
    <t>2310</t>
  </si>
  <si>
    <t>Středočeský Infrastrukturní fond - oblast regionálního školství</t>
  </si>
  <si>
    <t>Středočeský Infrastrukturní fond - oblast životní prostředí</t>
  </si>
  <si>
    <t>odstraňování škod po zimě</t>
  </si>
  <si>
    <t xml:space="preserve">Příspěvek zřízeným příspěvkovým organizacím celkem </t>
  </si>
  <si>
    <r>
      <t xml:space="preserve">Smlouva o úvěru uzavřená s Komerční bankou, a.s. ze dne 10. 11. 2021 </t>
    </r>
    <r>
      <rPr>
        <sz val="11"/>
        <rFont val="Calibri"/>
        <family val="2"/>
        <charset val="238"/>
        <scheme val="minor"/>
      </rPr>
      <t>(kofinancování projektů spolufinancovaných z prostředků EU/EHP a národních zdrojů)</t>
    </r>
  </si>
  <si>
    <r>
      <t>Smlouva o úvěru uzavřená s  Českou spořitelnou, a.s. ze dne 8. 11. 2021</t>
    </r>
    <r>
      <rPr>
        <sz val="11"/>
        <rFont val="Calibri"/>
        <family val="2"/>
        <charset val="238"/>
        <scheme val="minor"/>
      </rPr>
      <t xml:space="preserve"> (předfinancování projektů spolufinancovaných z  prostředků EU/EHP a národních zdrojů)</t>
    </r>
  </si>
  <si>
    <r>
      <t xml:space="preserve">Smlouva o financování uzavřená s Evropskou investiční bankou dne 30. 9. 2020 a 1. 7. 2021 </t>
    </r>
    <r>
      <rPr>
        <sz val="11"/>
        <rFont val="Calibri"/>
        <family val="2"/>
        <charset val="238"/>
        <scheme val="minor"/>
      </rPr>
      <t>(financování projektů v oblasti zdravotnictví, sociální péče, silniční dopravy, školství a v oblasti energetických úspor)</t>
    </r>
  </si>
  <si>
    <t>Příspěvek na provoz (UZ 533)</t>
  </si>
  <si>
    <t>Ostatní zdroje</t>
  </si>
  <si>
    <t>Předfinancování projektů spolufinancovaných z EU/EHP (kapitola 23) - programové období 2014 - 2020</t>
  </si>
  <si>
    <t>Předfinancování projektů spolufinancovaných z EU/EHP (kapitola 23) – programové období 2021 - 2027</t>
  </si>
  <si>
    <t>Předfinancování a kofinancování projektů EU/EHP a ostatní související výdaje s projekty EU/EHP hrazené z vlastních zdrojů kraje</t>
  </si>
  <si>
    <t>Kofinancování projektů EU a ostatní související výdaje s projekty EU/EHP hrazené z úvěru přijatého od EIB</t>
  </si>
  <si>
    <t>Rezerva Středočeského kraje (kapitola 23)</t>
  </si>
  <si>
    <t>Příspěvek na výdaje na platy (UZ 555)</t>
  </si>
  <si>
    <t>výdaje na platy</t>
  </si>
  <si>
    <t>příspěvek na výdaje na platy</t>
  </si>
  <si>
    <t>Ostatní záležitosti sociálních věcí a politiky zaměstnanosti - Senior a rodinné pasy</t>
  </si>
  <si>
    <t xml:space="preserve">Podpora vybraných oborů středních škol </t>
  </si>
  <si>
    <t>Juniorní centrum kybernetické bezpečnosti</t>
  </si>
  <si>
    <t>z toho: výdaje na platy</t>
  </si>
  <si>
    <t>Členské příspěvky</t>
  </si>
  <si>
    <t>Soundtrack Poděbrady</t>
  </si>
  <si>
    <t>Kulturní a kreativní odvětví</t>
  </si>
  <si>
    <t>Podpora poutního turismu</t>
  </si>
  <si>
    <t>Výdaje na platy hrazené z rozpočtu kraje</t>
  </si>
  <si>
    <t>Rybářství a myslivost</t>
  </si>
  <si>
    <t>Předfinancování a podíl EU projektů spolufinancovaných z EU/EHP  – programové období 2014 - 2020</t>
  </si>
  <si>
    <t>Předfinancování a podíl EU projektů spolufinancovaných z EU/EHP  – programové období 2021 - 2027</t>
  </si>
  <si>
    <t xml:space="preserve">Předfinancování a podíl SR projektů spolufinancovaných z národních zdrojů </t>
  </si>
  <si>
    <t>Kofinancování projektů spolufinancovaných z EU/EHP a ostatní související výdaje s projekty EU/EHP – programové období 2014 - 2020</t>
  </si>
  <si>
    <t>Kofinancování projektů spolufinancovaných z EU/EHP a ostatní související výdaje s projekty EU/EHP – programové období 2021 - 2027</t>
  </si>
  <si>
    <t xml:space="preserve">Kofinancování projektů spolufinancovaných z EU/EHP a ostatní související výdaje s projekty EU/EHP - hrazené z úvěru přijatého od EIB </t>
  </si>
  <si>
    <t>Kofinancování projektů spolufinancovaných z národních zdrojů a ostatní související výdaje s projekty z národních zdrojů</t>
  </si>
  <si>
    <t>Zdroje:</t>
  </si>
  <si>
    <t>Festival základních uměleckých škol</t>
  </si>
  <si>
    <t>Cestovní ruch - příspěvek příspěvkovým organizacím</t>
  </si>
  <si>
    <t>Humanitární zahraniční pomoc přímá - příspěvek příspěvkové organizaci Integrovaná doprava Středočeského kraje</t>
  </si>
  <si>
    <t>Operace řízení likvidity</t>
  </si>
  <si>
    <t>podpora marketingu cestovního ruchu</t>
  </si>
  <si>
    <t>zajištění objížděk</t>
  </si>
  <si>
    <t>Volby do zastupitelstev územních samosprávných celků</t>
  </si>
  <si>
    <t>označníky (běžná údržba)</t>
  </si>
  <si>
    <t>Sociální péče a pomoc přistěhovalcům a vybraným etnikům</t>
  </si>
  <si>
    <t>označníky (obnova)</t>
  </si>
  <si>
    <t>Podpora podnikání, investiční příležitosti, brownfieldy</t>
  </si>
  <si>
    <t>Zajištění provozu a podpory aplikace eDotace</t>
  </si>
  <si>
    <t>z toho: výdaje na energie</t>
  </si>
  <si>
    <t>příspěvek na výdaje na energie</t>
  </si>
  <si>
    <t>Příspěvek na výdaje na energie</t>
  </si>
  <si>
    <t>výdaje na energie</t>
  </si>
  <si>
    <t>Příspěvek na výdaje na energie (UZ 544)</t>
  </si>
  <si>
    <t>Příspěvek na výdaje na energie zřízeným příspěvkovým organizacím celkem</t>
  </si>
  <si>
    <t>Příspěvek na platy zřízeným příspěvkovým organizacím celkem</t>
  </si>
  <si>
    <t>Rozvojové projekty příspěvkových organizací</t>
  </si>
  <si>
    <t>Činnosti památkových ústavů, hradů a zámků</t>
  </si>
  <si>
    <t>Hudební činnost</t>
  </si>
  <si>
    <t>Dvořákovo Příbramsko</t>
  </si>
  <si>
    <t>Středočeská skutečná liga</t>
  </si>
  <si>
    <t>Spolufinancování „Konkrétních opatření ke zmírnění negativních dopadů sucha a nedostatku vody ve Středočeském kraji“</t>
  </si>
  <si>
    <t>Příspěvek na provoz škol zřizovaných Středočeským krajem</t>
  </si>
  <si>
    <t>Kapitálové výdaje - jednotlivé kapitoly (bez prostředků na krytí Zásobníku investic)</t>
  </si>
  <si>
    <t>Předfinancování projektů spolufinancovaných z národních zdrojů (kapitola 23)</t>
  </si>
  <si>
    <t>Kapitola 16 - Správní agendy</t>
  </si>
  <si>
    <t>dopravní obslužnost veřejnými službami - linková, hrazená z prostředků kraje</t>
  </si>
  <si>
    <t>dopravní obslužnost veřejnými službami - drážní,  hrazená z prostředků kraje</t>
  </si>
  <si>
    <t>Ostatní záležitosti sociálních věcí a politiky zaměstnanosti - Virtuální prohlídky</t>
  </si>
  <si>
    <t>Středočeský Humanitární fond - oblast sociální</t>
  </si>
  <si>
    <t>Rámcový přehled předfinancování projektů spolufinancovaných z EU/EHP a národních zdrojů</t>
  </si>
  <si>
    <t>Rámcový přehled kofinancování projektů spolufinancovaných z EU/EHP a národních zdrojů</t>
  </si>
  <si>
    <t>Čerpání přijatého úvěru od Evropské investiční banky v roce 2020 a 2021 (financování investičních akcí a kofinancování projektů EU)</t>
  </si>
  <si>
    <r>
      <t xml:space="preserve">Smlouva o úvěru uzavřená s Komerční bankou, a.s. dne 25. 6. 2020 </t>
    </r>
    <r>
      <rPr>
        <sz val="11"/>
        <rFont val="Calibri"/>
        <family val="2"/>
        <charset val="238"/>
        <scheme val="minor"/>
      </rPr>
      <t>(poskytnutí návratných finančních výpomocí OSVČ ze Středočeského kraje, které byly nepříznivě ekonomicky zasažení epidemií COVID-19)</t>
    </r>
  </si>
  <si>
    <t>Rozpočet 2024</t>
  </si>
  <si>
    <t>Ostatní záležitosti bezpečnosti, veřejného pořádku</t>
  </si>
  <si>
    <t>přeprava osob se zdravotním postižením</t>
  </si>
  <si>
    <t xml:space="preserve">Limit pro minimální vratku </t>
  </si>
  <si>
    <t xml:space="preserve">502 výdaje na ostatní platby za provedenou práci </t>
  </si>
  <si>
    <t>503 povinné a zákonné pojistné placené zaměstnavatelem</t>
  </si>
  <si>
    <t>504 výdaje na odměny za užití duševního vlastnictví</t>
  </si>
  <si>
    <t>513 výdaje na nákup materiálu</t>
  </si>
  <si>
    <t>516 výdaje na nákup služeb</t>
  </si>
  <si>
    <t>517 výdaje na ostatní nákupy</t>
  </si>
  <si>
    <t>581 výdaje na náhrady za nezpůsobenou újmu a výdaje na náhrady škod způsobených rozhodnutím nebo nesprávným úředním postupem při výkonu veřejné moci</t>
  </si>
  <si>
    <t>504 odměny za užití duševního vlastnictví</t>
  </si>
  <si>
    <t>513 nákup materiálu</t>
  </si>
  <si>
    <t>515 nákup vody, paliv a energie</t>
  </si>
  <si>
    <t>516 nákup služeb</t>
  </si>
  <si>
    <t>517 ostatní nákupy</t>
  </si>
  <si>
    <t>Deinstitucionalizace a transformace dětských domovů</t>
  </si>
  <si>
    <t>536 ostatní nein. transfery jiným rozpočtům, platby daní</t>
  </si>
  <si>
    <t>512 výdaje na některé úpravy hmotných věcí a pořízení některých práv k hmotným věcem</t>
  </si>
  <si>
    <t>Partnerství pro městskou mobilitu</t>
  </si>
  <si>
    <t>příspěvek na energie</t>
  </si>
  <si>
    <t>expertní skupina pro výběrové řízení</t>
  </si>
  <si>
    <t>dopravní obslužnost veřejnými službami - linková, hrazená z prostředků ostatních krajů</t>
  </si>
  <si>
    <t>Členský příspěvek spolku BISON</t>
  </si>
  <si>
    <t>Neinvestiční transfery od krajů - linková doprava (třída 4)</t>
  </si>
  <si>
    <t>Neinvestiční transfery od krajů - drážní doprava (třída 4)</t>
  </si>
  <si>
    <t>Dotace ze státního rozpočtu - drážní doprava (třída 4)</t>
  </si>
  <si>
    <t>Dotace ze státního rozpočtu - drážní doprava (kapitola 26)</t>
  </si>
  <si>
    <t>Podpora předškolního vzdělávání</t>
  </si>
  <si>
    <t>Úspora energií a obnovitelné zdroje</t>
  </si>
  <si>
    <t>Podpora audiovizuální tvorby ve Středočeském kraji</t>
  </si>
  <si>
    <t>Program ,,Obchůdek 2021+"</t>
  </si>
  <si>
    <t>Podpora živnostníků ve Středočeském kraji</t>
  </si>
  <si>
    <t>Splátky přijatého úvěru - EIB (z roku 2020 a 2021) - jistina</t>
  </si>
  <si>
    <t>Program na podporu rozvoje meziobecní spolupráce v oblasti strategického rozvoje dobrovolných svazků obcí Středočeského kraje</t>
  </si>
  <si>
    <t>Program na podporu vzdělávacích programů v oblasti podnikání v hospodářsky a sociálně ohrožených obcích s rozšířenou působností a obcích s pověřeným obecním úřadem ve Středočeském kraji</t>
  </si>
  <si>
    <t xml:space="preserve">Zůstatek prostředků z minulého roku ze splátek návratných finančních výpomocí OSVČ v souvislostí s pandemií COVID-19 </t>
  </si>
  <si>
    <t>Splátky přijatého úvěru od Evropské investiční banky v roce 2020 a 2021 (financování investičních akcí a kofinancování projektů EU)</t>
  </si>
  <si>
    <t>Naplňování koncepce prorodinné politiky</t>
  </si>
  <si>
    <t>Školení, vzdělávání a ocenění za mimořádný přínos pro oblast tradiční lidové kultury</t>
  </si>
  <si>
    <t>Regionální funkce knihoven Středočeského kraje</t>
  </si>
  <si>
    <t xml:space="preserve">Činnost regionální správy </t>
  </si>
  <si>
    <t>Dotace ze státního rozpočtu - sociální služby (třída 4)</t>
  </si>
  <si>
    <t>Dotace ze státního rozpočtu - sociální služby (kapitola 17)</t>
  </si>
  <si>
    <t xml:space="preserve">Rozvoj ICT nástrojů pro řízení a podporu příspěvkových organizací </t>
  </si>
  <si>
    <t>Portál příspěvkových organizací</t>
  </si>
  <si>
    <t>Rozvoj sítí elektronických komunikací - Bílá místa</t>
  </si>
  <si>
    <t xml:space="preserve">Přehled výdajů jednotlivých kapitol - běžné výdaje, výdaje na energie, výdaje na platy, výdaje na opravy a údržbu majetku </t>
  </si>
  <si>
    <t>Rozpočet 2025</t>
  </si>
  <si>
    <t>Záležitosti zájmového vzdělávání jinde nazařazené</t>
  </si>
  <si>
    <t>Ostatní zahraniční pomoc</t>
  </si>
  <si>
    <t>Ostatní činnosti související se službami pro fyzické osoby</t>
  </si>
  <si>
    <t>Ostatní sociální péče a pomoc ostatním skupinám fyzických osob</t>
  </si>
  <si>
    <t>Mezinárodní spolupráce jinde nezařazená</t>
  </si>
  <si>
    <t>Správa v lesním hospodářství</t>
  </si>
  <si>
    <t>Opatření ke snižování produkce skleníkových plynů a plynů poškozujících ozónovou vrstvu</t>
  </si>
  <si>
    <t>Participativní rozpočet</t>
  </si>
  <si>
    <t>Zajištění podpory administrace projektů EPC II v MS2021+</t>
  </si>
  <si>
    <t>Členský příspěvek Středočeské inovační centrum</t>
  </si>
  <si>
    <t>Dotace online.cz</t>
  </si>
  <si>
    <t>Kontrola technické způsobilosti vozidel</t>
  </si>
  <si>
    <t>Odborné sociální poradenství</t>
  </si>
  <si>
    <t>Individuální návratná finanční výpomoc</t>
  </si>
  <si>
    <t>Podpora hospodářsky a sociálně ohrožených území ve Středočeském kraji</t>
  </si>
  <si>
    <t>Služby následné péče, terapeutické komunity a kontaktní centra</t>
  </si>
  <si>
    <t>Dopravní obslužnost veřejnými službami - příspěvek příspěvkové organizaci Integrovaná doprava Středočeského kraje</t>
  </si>
  <si>
    <t>Předfinancování, kofinancování a ostatní související výdaje s projekty spolufinancovanými z EU/EHP</t>
  </si>
  <si>
    <t>Předfinancování, kofinancování a ostatní související výdaje</t>
  </si>
  <si>
    <t>Městská knihovna Benešov, Knihovna Kutná Hora, Knihovna města Mladá Boleslav, Knihovna Jana Drdy Příbram</t>
  </si>
  <si>
    <t>Regionální funkce knihoven Středočeského kraje - Bookstart: S knížkou do života</t>
  </si>
  <si>
    <t>Limit pro čerpání z kapitoly 23 - Ostatní</t>
  </si>
  <si>
    <t>Program pro poskytování návratné finanční výpomoci z rozpočtu Středočeského kraje - sociální oblast</t>
  </si>
  <si>
    <t>Činnost regionální správy - Bezpečnostní opatření</t>
  </si>
  <si>
    <t>dopravní obslužnost veřejnými službami - linková, hrazená z prostředků obcí a DSO</t>
  </si>
  <si>
    <t>dopravní obslužnost veřejnými službami - drážní, hrazená z prostředků obcí a DSO</t>
  </si>
  <si>
    <t>Individuální návratná fininanční výpomoc MAS Karlštejnsko, z. ú. - překlenutí výpadku cash flow</t>
  </si>
  <si>
    <t>Mateřské školy - odvod na základě výzvy</t>
  </si>
  <si>
    <t>Základní školy - odvod na základě výzvy</t>
  </si>
  <si>
    <t>Úhrady za dobývání nerostů a poplatky za geologické práce (třída 1)</t>
  </si>
  <si>
    <t>Předfinancování, kofinancování a ostatní související výdaje s projekty spolufinancovanými z národních zdrojů</t>
  </si>
  <si>
    <t>Dotace - projekty spolufinancované z EU/EHP (třída 4, do roku 2023 třída 2 - vratky)</t>
  </si>
  <si>
    <t>Dotace - projekty spolufinancované z národních zdrojů (třída 4, do roku 2023 třída 2 - vratky)</t>
  </si>
  <si>
    <t>Vratky předfinancování projektů spolufinancovaných z EU/EHP (třída 2)</t>
  </si>
  <si>
    <t>Vratky předfinancování projektů spolufinancovaných z národních zdrojů (třída 2)</t>
  </si>
  <si>
    <t xml:space="preserve">Příprava projektů </t>
  </si>
  <si>
    <t>Informativní součet  celkový limit pro čerpání  z kapitoly 23 - Ostatní</t>
  </si>
  <si>
    <t>Informativní součet  celkové čerpání z kapitoly 23 - Ostatní</t>
  </si>
  <si>
    <t>Projekty spolufinancované z EU/EHP a národních zdrojů</t>
  </si>
  <si>
    <t>Předpoklad čerpání z kapitoly 23 - Ostatní</t>
  </si>
  <si>
    <t xml:space="preserve">Kofinancování </t>
  </si>
  <si>
    <t xml:space="preserve">Předfinancování </t>
  </si>
  <si>
    <t xml:space="preserve">Minimální vratka </t>
  </si>
  <si>
    <t>Čerpání úvěru EIB</t>
  </si>
  <si>
    <t>zabezpečení skalních masivů a svahů</t>
  </si>
  <si>
    <t>údržba mostů</t>
  </si>
  <si>
    <t>Digitální technická mapa</t>
  </si>
  <si>
    <t>Ostatní sociální péče a pomoc rodině a manželství - Zajištění příprav a psychologického posouzení žadatelů o náhradní rodinnou péči</t>
  </si>
  <si>
    <t>Ostatní záležitosti ochrany fyzických osob</t>
  </si>
  <si>
    <t>Implementace, podpora a provoz jednotného ekonomického informačního systému pro příspěvkové organizace</t>
  </si>
  <si>
    <t>Dopravní obslužnost veřejnými službami - drážní, hrazená z prostředků ostatních krajů</t>
  </si>
  <si>
    <t xml:space="preserve">Limity čerpání včetně kofinancování, vratek a přípravy projektů Středočeského kraje - projekty spolufinancované z EU/EHP - programové období 2021 - 2027, projekty realizované Středočeským krajem </t>
  </si>
  <si>
    <t>Limity čerpání včetně kofinancování, vratek a přípravy projektů Středočeského kraje - projekty spolufinancované z EU/EHP - programové období 2021 - 2027, projekty realizované zřízenými příspěvkovými organizacemi, založenými akciovými společnostmi</t>
  </si>
  <si>
    <t>Neinvestiční transfery od obcí a DSO - linková doprava (třída 4)</t>
  </si>
  <si>
    <t>Neinvestiční transfery od obcí a DSO - drážní doprava (třída 4)</t>
  </si>
  <si>
    <t>NA ROK 2026</t>
  </si>
  <si>
    <t>Rozpočet 2026</t>
  </si>
  <si>
    <t>% 2026/2025 schv. rozp.</t>
  </si>
  <si>
    <t>% 2026/2025 upr. rozp.</t>
  </si>
  <si>
    <t>Rozpočet Středočeského kraje na rok 2026 - běžné výdaje kapitol</t>
  </si>
  <si>
    <t>Rozpočet Středočeského kraje na rok 2026</t>
  </si>
  <si>
    <t>Maximální částka v roce 2026</t>
  </si>
  <si>
    <t>Způsobilé náklady</t>
  </si>
  <si>
    <t>Nezpůsobilé náklady</t>
  </si>
  <si>
    <t>Ostatní služby a činnosti v oblasti sociální  prevence</t>
  </si>
  <si>
    <t>Dotace na podporu meziobecní spolupráce</t>
  </si>
  <si>
    <t>Realizace a zajištění aktivit v oblasti podnikání SK</t>
  </si>
  <si>
    <t>Čerpáno                   k 31. 12.</t>
  </si>
  <si>
    <t>Čerpáno                  k 31. 12.</t>
  </si>
  <si>
    <t>Čerpáno                k 31. 12.</t>
  </si>
  <si>
    <t>Čerpáno              k 31. 12.</t>
  </si>
  <si>
    <t>23</t>
  </si>
  <si>
    <t>532 neinvestiční transfery rozpočtům územní úrovně</t>
  </si>
  <si>
    <t>590 ostatní neinvestiční výdaje jinde nezařazené</t>
  </si>
  <si>
    <t>Zajištění energetického managementu u projektů EPC</t>
  </si>
  <si>
    <t>549 ostatní neinvestiční transfery fyzickým osobám</t>
  </si>
  <si>
    <t xml:space="preserve">Azylové domy, nízkoprahová denní centra a noclehárny </t>
  </si>
  <si>
    <t>Vratky sociálních dávek</t>
  </si>
  <si>
    <t>Digitální technická mapa Středočeského kraje</t>
  </si>
  <si>
    <t>Spisová služba</t>
  </si>
  <si>
    <t>Neinvestiční příspěvky zřízeným příspěvkovým organizacím</t>
  </si>
  <si>
    <t>Celospolečenské funkce lesů</t>
  </si>
  <si>
    <t>Rekultivace půdy v důsledku těžeb a důlní činnosti</t>
  </si>
  <si>
    <t>Pitná voda</t>
  </si>
  <si>
    <t>Program pro poskytování dotací na podporu rozvoje destinačních managementů Středočeského kraje</t>
  </si>
  <si>
    <t>Externí audit pro příspěvkové organizace</t>
  </si>
  <si>
    <t>Zajištění konektivity datových center pro IS DTM</t>
  </si>
  <si>
    <t>Individuální účelová dotace obci Kostelní Lhota na projekt "Organizace vyhlášení soutěže Evropská cena obnovy vesnice v roce 2026"</t>
  </si>
  <si>
    <t>Individuální neinvestiční návratná finanční výpomoc obci Dřetovice na provoz obce</t>
  </si>
  <si>
    <t>Odvody a penále za neuznatelné výdaje vzniklé v rámci realizace projektů na výměnu zdrojů tepla na pevná paliva v rodinných domech ve Středočeském kraji</t>
  </si>
  <si>
    <t>Výsadba stromů v obcích - udržitelnost - závazek do roku 2030</t>
  </si>
  <si>
    <t>Cestovní ruch</t>
  </si>
  <si>
    <t>Portál dopravce</t>
  </si>
  <si>
    <t>Předpoklad čerpání včetně kofinancování, vratek a přípravy projektů Středočeského kraje - projekty spolufinancované z národních zdrojů</t>
  </si>
  <si>
    <t xml:space="preserve">Program 2026 - ZDRAVOTNICTVÍ pro poskytování investičních dotací z rozpočtu Středočeského kraje poskytovatelům akutní lůžkové péče na území Středočeského kraje </t>
  </si>
  <si>
    <t>Prostředky na úhradu možného navýšení platů - zaměstnanců KÚSK, příspěvkových organizací</t>
  </si>
  <si>
    <t>6409</t>
  </si>
  <si>
    <t>43XX</t>
  </si>
  <si>
    <t xml:space="preserve">Projekty EPC I a EPC II - úhrada za případné nadúspory </t>
  </si>
  <si>
    <t>2115</t>
  </si>
  <si>
    <t>2292</t>
  </si>
  <si>
    <t>Aktualizace Plánu pro zvládání sucha a nedostatku vody Středočeského kraje</t>
  </si>
  <si>
    <t xml:space="preserve">Středočeský Fond podpory včasné přípravy projektů </t>
  </si>
  <si>
    <t>Středočeský Fond podpory včasné přípravy projektů</t>
  </si>
  <si>
    <t>Čerpáno                k 30. 9.</t>
  </si>
  <si>
    <t>Upravený rozpočet k 30. 9.</t>
  </si>
  <si>
    <t>Ostatní záležitosti požární ochrany a integrovaného záchranného systému</t>
  </si>
  <si>
    <t>Čerpáno              k 30. 9.</t>
  </si>
  <si>
    <t>Čerpáno                          k 30. 9.</t>
  </si>
  <si>
    <t>Čerpáno                  k 30. 9.</t>
  </si>
  <si>
    <t>Ostatní záležitosti požární ochrany a IZS</t>
  </si>
  <si>
    <t>Ostatní záležitosti vzdělávání - Prevence kriminality</t>
  </si>
  <si>
    <t>Program pro poskytování dotací na podporu geoparků na území Středočeského kraje</t>
  </si>
  <si>
    <t>Filmová tvorba, distribuce, kina a shromažďování audiovizuálních archiválií</t>
  </si>
  <si>
    <t>Elektronický dotační portál</t>
  </si>
  <si>
    <t>Čerpáno                   k 30. 9.</t>
  </si>
  <si>
    <t>Otevřené dveře - zajištění rezervy na případný pokles tržeb z jízného vlivem nedodržování tarifní kázně cestujících</t>
  </si>
  <si>
    <t>Post Bellum</t>
  </si>
  <si>
    <t>Příspěvek na běžné opravy a udržování (UZ 12, 511)</t>
  </si>
  <si>
    <t>Příspěvky zřízeným příspěvkovým organizacím celkem  (UZ 12, 511, 533, 544, 555)</t>
  </si>
  <si>
    <t>Čerpáno                     k 31. 12.</t>
  </si>
  <si>
    <t>Čerpáno                    k  30. 9.</t>
  </si>
  <si>
    <t>Čerpáno                    k  31. 12.</t>
  </si>
  <si>
    <t>Příloha č. 2 k USNESENÍ č. 009-07-2025-ZK ze dne 1. 12.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</si>
</sst>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Kč&quot;;[Red]\-#,##0\ &quot;Kč&quot;"/>
    <numFmt numFmtId="164" formatCode="_-* #,##0.00\ _K_č_-;\-* #,##0.00\ _K_č_-;_-* &quot;-&quot;??\ _K_č_-;_-@_-"/>
    <numFmt numFmtId="165" formatCode="#,##0.0"/>
    <numFmt numFmtId="166" formatCode="0.0"/>
    <numFmt numFmtId="167" formatCode="&quot;Kč&quot;#,##0.00"/>
    <numFmt numFmtId="168" formatCode="#,##0.000000"/>
    <numFmt numFmtId="169" formatCode="#,##0.000"/>
  </numFmts>
  <fonts count="5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04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0"/>
      <color rgb="FF7030A0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1"/>
      <color rgb="FF00B05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sz val="11"/>
      <color rgb="FF008A3E"/>
      <name val="Calibri"/>
      <family val="2"/>
      <charset val="238"/>
      <scheme val="minor"/>
    </font>
    <font>
      <sz val="11"/>
      <color rgb="FF0085B4"/>
      <name val="Calibri"/>
      <family val="2"/>
      <charset val="238"/>
      <scheme val="minor"/>
    </font>
    <font>
      <sz val="10"/>
      <color rgb="FF00C400"/>
      <name val="Calibri"/>
      <family val="2"/>
      <charset val="238"/>
      <scheme val="minor"/>
    </font>
    <font>
      <sz val="11"/>
      <name val="Calibri"/>
      <family val="2"/>
      <charset val="238"/>
    </font>
    <font>
      <b/>
      <i/>
      <sz val="12"/>
      <name val="Calibri"/>
      <family val="2"/>
      <charset val="238"/>
      <scheme val="minor"/>
    </font>
    <font>
      <b/>
      <sz val="11"/>
      <color rgb="FFCC6600"/>
      <name val="Calibri"/>
      <family val="2"/>
      <charset val="238"/>
      <scheme val="minor"/>
    </font>
    <font>
      <sz val="11"/>
      <color rgb="FFCC660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sz val="11"/>
      <name val="Aptos"/>
      <family val="2"/>
    </font>
    <font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1FFE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CFBC5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3">
    <xf numFmtId="0" fontId="0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10" fillId="0" borderId="0"/>
    <xf numFmtId="0" fontId="5" fillId="0" borderId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</cellStyleXfs>
  <cellXfs count="1301">
    <xf numFmtId="0" fontId="0" fillId="0" borderId="0" xfId="0"/>
    <xf numFmtId="0" fontId="12" fillId="0" borderId="0" xfId="14" applyFont="1"/>
    <xf numFmtId="3" fontId="12" fillId="0" borderId="0" xfId="14" applyNumberFormat="1" applyFont="1"/>
    <xf numFmtId="4" fontId="12" fillId="0" borderId="0" xfId="14" applyNumberFormat="1" applyFont="1"/>
    <xf numFmtId="3" fontId="13" fillId="0" borderId="0" xfId="14" applyNumberFormat="1" applyFont="1"/>
    <xf numFmtId="166" fontId="12" fillId="0" borderId="0" xfId="14" applyNumberFormat="1" applyFont="1" applyAlignment="1">
      <alignment horizontal="right"/>
    </xf>
    <xf numFmtId="166" fontId="14" fillId="0" borderId="0" xfId="14" applyNumberFormat="1" applyFont="1" applyAlignment="1">
      <alignment horizontal="right"/>
    </xf>
    <xf numFmtId="0" fontId="15" fillId="0" borderId="0" xfId="14" applyFont="1"/>
    <xf numFmtId="166" fontId="14" fillId="0" borderId="0" xfId="15" applyNumberFormat="1" applyFont="1" applyAlignment="1">
      <alignment horizontal="right"/>
    </xf>
    <xf numFmtId="0" fontId="16" fillId="0" borderId="0" xfId="14" applyFont="1"/>
    <xf numFmtId="0" fontId="17" fillId="0" borderId="0" xfId="15" applyFont="1"/>
    <xf numFmtId="3" fontId="17" fillId="0" borderId="0" xfId="15" applyNumberFormat="1" applyFont="1"/>
    <xf numFmtId="4" fontId="17" fillId="0" borderId="0" xfId="15" applyNumberFormat="1" applyFont="1"/>
    <xf numFmtId="4" fontId="16" fillId="0" borderId="0" xfId="14" applyNumberFormat="1" applyFont="1"/>
    <xf numFmtId="3" fontId="16" fillId="0" borderId="0" xfId="14" applyNumberFormat="1" applyFont="1"/>
    <xf numFmtId="3" fontId="17" fillId="0" borderId="0" xfId="14" applyNumberFormat="1" applyFont="1"/>
    <xf numFmtId="166" fontId="16" fillId="0" borderId="0" xfId="14" applyNumberFormat="1" applyFont="1" applyAlignment="1">
      <alignment horizontal="right"/>
    </xf>
    <xf numFmtId="0" fontId="12" fillId="0" borderId="0" xfId="14" applyFont="1" applyAlignment="1">
      <alignment horizontal="left" wrapText="1"/>
    </xf>
    <xf numFmtId="0" fontId="17" fillId="0" borderId="0" xfId="14" applyFont="1" applyAlignment="1">
      <alignment horizontal="left" wrapText="1"/>
    </xf>
    <xf numFmtId="0" fontId="17" fillId="0" borderId="0" xfId="14" applyFont="1"/>
    <xf numFmtId="0" fontId="18" fillId="0" borderId="0" xfId="14" applyFont="1"/>
    <xf numFmtId="3" fontId="18" fillId="0" borderId="0" xfId="14" applyNumberFormat="1" applyFont="1"/>
    <xf numFmtId="4" fontId="18" fillId="0" borderId="0" xfId="14" applyNumberFormat="1" applyFont="1"/>
    <xf numFmtId="4" fontId="18" fillId="0" borderId="0" xfId="14" applyNumberFormat="1" applyFont="1" applyAlignment="1">
      <alignment horizontal="right"/>
    </xf>
    <xf numFmtId="166" fontId="18" fillId="0" borderId="0" xfId="15" applyNumberFormat="1" applyFont="1" applyAlignment="1">
      <alignment horizontal="right"/>
    </xf>
    <xf numFmtId="166" fontId="13" fillId="0" borderId="0" xfId="14" applyNumberFormat="1" applyFont="1" applyAlignment="1">
      <alignment horizontal="right" wrapText="1"/>
    </xf>
    <xf numFmtId="0" fontId="20" fillId="0" borderId="0" xfId="14" applyFont="1" applyAlignment="1">
      <alignment vertical="center"/>
    </xf>
    <xf numFmtId="0" fontId="21" fillId="0" borderId="0" xfId="1" applyFont="1"/>
    <xf numFmtId="4" fontId="13" fillId="0" borderId="0" xfId="0" applyNumberFormat="1" applyFont="1"/>
    <xf numFmtId="0" fontId="12" fillId="0" borderId="0" xfId="0" applyFont="1"/>
    <xf numFmtId="0" fontId="21" fillId="0" borderId="0" xfId="1" applyFont="1" applyAlignment="1">
      <alignment horizontal="left"/>
    </xf>
    <xf numFmtId="4" fontId="12" fillId="0" borderId="0" xfId="0" applyNumberFormat="1" applyFont="1"/>
    <xf numFmtId="165" fontId="14" fillId="0" borderId="0" xfId="0" applyNumberFormat="1" applyFont="1" applyAlignment="1">
      <alignment horizontal="right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/>
    <xf numFmtId="0" fontId="17" fillId="0" borderId="56" xfId="0" applyFont="1" applyBorder="1" applyAlignment="1">
      <alignment wrapText="1"/>
    </xf>
    <xf numFmtId="165" fontId="12" fillId="0" borderId="0" xfId="0" applyNumberFormat="1" applyFont="1"/>
    <xf numFmtId="3" fontId="13" fillId="0" borderId="0" xfId="0" applyNumberFormat="1" applyFont="1"/>
    <xf numFmtId="0" fontId="15" fillId="0" borderId="0" xfId="0" applyFont="1"/>
    <xf numFmtId="3" fontId="12" fillId="0" borderId="0" xfId="0" applyNumberFormat="1" applyFont="1"/>
    <xf numFmtId="3" fontId="17" fillId="0" borderId="5" xfId="0" applyNumberFormat="1" applyFont="1" applyBorder="1"/>
    <xf numFmtId="4" fontId="17" fillId="0" borderId="16" xfId="0" applyNumberFormat="1" applyFont="1" applyBorder="1"/>
    <xf numFmtId="4" fontId="17" fillId="0" borderId="6" xfId="0" applyNumberFormat="1" applyFont="1" applyBorder="1"/>
    <xf numFmtId="14" fontId="12" fillId="0" borderId="0" xfId="0" applyNumberFormat="1" applyFont="1"/>
    <xf numFmtId="3" fontId="14" fillId="0" borderId="0" xfId="0" applyNumberFormat="1" applyFont="1" applyAlignment="1">
      <alignment horizontal="right"/>
    </xf>
    <xf numFmtId="4" fontId="17" fillId="0" borderId="0" xfId="0" applyNumberFormat="1" applyFont="1"/>
    <xf numFmtId="0" fontId="12" fillId="0" borderId="0" xfId="0" applyFont="1" applyAlignment="1">
      <alignment horizontal="center"/>
    </xf>
    <xf numFmtId="0" fontId="24" fillId="0" borderId="0" xfId="0" applyFont="1"/>
    <xf numFmtId="3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14" fontId="12" fillId="0" borderId="0" xfId="0" applyNumberFormat="1" applyFont="1" applyAlignment="1">
      <alignment horizontal="center"/>
    </xf>
    <xf numFmtId="0" fontId="17" fillId="0" borderId="10" xfId="0" applyFont="1" applyBorder="1" applyAlignment="1">
      <alignment wrapText="1"/>
    </xf>
    <xf numFmtId="3" fontId="17" fillId="0" borderId="48" xfId="0" applyNumberFormat="1" applyFont="1" applyBorder="1"/>
    <xf numFmtId="165" fontId="17" fillId="0" borderId="10" xfId="0" applyNumberFormat="1" applyFont="1" applyBorder="1"/>
    <xf numFmtId="165" fontId="17" fillId="0" borderId="0" xfId="0" applyNumberFormat="1" applyFont="1"/>
    <xf numFmtId="165" fontId="16" fillId="0" borderId="0" xfId="0" applyNumberFormat="1" applyFont="1" applyAlignment="1">
      <alignment horizontal="right"/>
    </xf>
    <xf numFmtId="0" fontId="12" fillId="0" borderId="0" xfId="1" applyFont="1" applyAlignment="1">
      <alignment vertical="center"/>
    </xf>
    <xf numFmtId="3" fontId="21" fillId="0" borderId="0" xfId="1" applyNumberFormat="1" applyFont="1"/>
    <xf numFmtId="4" fontId="21" fillId="0" borderId="0" xfId="1" applyNumberFormat="1" applyFont="1"/>
    <xf numFmtId="3" fontId="15" fillId="0" borderId="0" xfId="0" applyNumberFormat="1" applyFont="1"/>
    <xf numFmtId="4" fontId="15" fillId="0" borderId="0" xfId="0" applyNumberFormat="1" applyFont="1"/>
    <xf numFmtId="0" fontId="26" fillId="0" borderId="0" xfId="14" applyFont="1"/>
    <xf numFmtId="0" fontId="24" fillId="0" borderId="0" xfId="14" applyFont="1"/>
    <xf numFmtId="166" fontId="24" fillId="0" borderId="41" xfId="14" applyNumberFormat="1" applyFont="1" applyBorder="1" applyAlignment="1">
      <alignment horizontal="right" wrapText="1"/>
    </xf>
    <xf numFmtId="0" fontId="14" fillId="0" borderId="0" xfId="14" applyFont="1"/>
    <xf numFmtId="0" fontId="12" fillId="0" borderId="0" xfId="14" applyFont="1" applyAlignment="1">
      <alignment vertical="center"/>
    </xf>
    <xf numFmtId="0" fontId="15" fillId="0" borderId="0" xfId="14" applyFont="1" applyAlignment="1">
      <alignment vertical="center"/>
    </xf>
    <xf numFmtId="0" fontId="16" fillId="0" borderId="0" xfId="14" applyFont="1" applyAlignment="1">
      <alignment vertical="center"/>
    </xf>
    <xf numFmtId="0" fontId="18" fillId="0" borderId="0" xfId="14" applyFont="1" applyAlignment="1">
      <alignment vertical="center"/>
    </xf>
    <xf numFmtId="0" fontId="12" fillId="0" borderId="0" xfId="0" applyFont="1" applyAlignment="1">
      <alignment vertical="center"/>
    </xf>
    <xf numFmtId="3" fontId="12" fillId="0" borderId="0" xfId="14" applyNumberFormat="1" applyFont="1" applyAlignment="1">
      <alignment vertical="center"/>
    </xf>
    <xf numFmtId="166" fontId="12" fillId="0" borderId="41" xfId="14" applyNumberFormat="1" applyFont="1" applyBorder="1" applyAlignment="1">
      <alignment horizontal="right" vertical="center" wrapText="1"/>
    </xf>
    <xf numFmtId="3" fontId="24" fillId="0" borderId="3" xfId="14" applyNumberFormat="1" applyFont="1" applyBorder="1" applyAlignment="1">
      <alignment vertical="center"/>
    </xf>
    <xf numFmtId="4" fontId="24" fillId="0" borderId="26" xfId="14" applyNumberFormat="1" applyFont="1" applyBorder="1" applyAlignment="1">
      <alignment vertical="center"/>
    </xf>
    <xf numFmtId="4" fontId="24" fillId="0" borderId="9" xfId="14" applyNumberFormat="1" applyFont="1" applyBorder="1" applyAlignment="1">
      <alignment horizontal="right" vertical="center"/>
    </xf>
    <xf numFmtId="4" fontId="24" fillId="0" borderId="43" xfId="14" applyNumberFormat="1" applyFont="1" applyBorder="1" applyAlignment="1">
      <alignment horizontal="right" vertical="center"/>
    </xf>
    <xf numFmtId="166" fontId="24" fillId="0" borderId="2" xfId="15" applyNumberFormat="1" applyFont="1" applyBorder="1" applyAlignment="1">
      <alignment horizontal="right" vertical="center"/>
    </xf>
    <xf numFmtId="166" fontId="24" fillId="0" borderId="41" xfId="14" applyNumberFormat="1" applyFont="1" applyBorder="1" applyAlignment="1">
      <alignment horizontal="right" vertical="center" wrapText="1"/>
    </xf>
    <xf numFmtId="3" fontId="24" fillId="0" borderId="2" xfId="14" applyNumberFormat="1" applyFont="1" applyBorder="1" applyAlignment="1">
      <alignment vertical="center"/>
    </xf>
    <xf numFmtId="4" fontId="24" fillId="0" borderId="8" xfId="14" applyNumberFormat="1" applyFont="1" applyBorder="1" applyAlignment="1">
      <alignment horizontal="right" vertical="center"/>
    </xf>
    <xf numFmtId="4" fontId="24" fillId="0" borderId="22" xfId="14" applyNumberFormat="1" applyFont="1" applyBorder="1" applyAlignment="1">
      <alignment horizontal="right" vertical="center"/>
    </xf>
    <xf numFmtId="3" fontId="24" fillId="0" borderId="2" xfId="14" applyNumberFormat="1" applyFont="1" applyBorder="1" applyAlignment="1">
      <alignment horizontal="right" vertical="center"/>
    </xf>
    <xf numFmtId="4" fontId="24" fillId="0" borderId="26" xfId="14" applyNumberFormat="1" applyFont="1" applyBorder="1" applyAlignment="1">
      <alignment horizontal="right" vertical="center"/>
    </xf>
    <xf numFmtId="3" fontId="12" fillId="0" borderId="0" xfId="14" applyNumberFormat="1" applyFont="1" applyAlignment="1">
      <alignment horizontal="left" vertical="center"/>
    </xf>
    <xf numFmtId="0" fontId="12" fillId="0" borderId="0" xfId="14" applyFont="1" applyAlignment="1">
      <alignment horizontal="left" vertical="center"/>
    </xf>
    <xf numFmtId="0" fontId="24" fillId="0" borderId="0" xfId="14" applyFont="1" applyAlignment="1">
      <alignment horizontal="left" vertical="center"/>
    </xf>
    <xf numFmtId="0" fontId="24" fillId="0" borderId="0" xfId="14" applyFont="1" applyAlignment="1">
      <alignment vertical="center"/>
    </xf>
    <xf numFmtId="4" fontId="24" fillId="0" borderId="42" xfId="14" applyNumberFormat="1" applyFont="1" applyBorder="1" applyAlignment="1">
      <alignment vertical="center"/>
    </xf>
    <xf numFmtId="0" fontId="17" fillId="0" borderId="0" xfId="14" applyFont="1" applyAlignment="1">
      <alignment vertical="center"/>
    </xf>
    <xf numFmtId="3" fontId="24" fillId="0" borderId="51" xfId="14" applyNumberFormat="1" applyFont="1" applyBorder="1" applyAlignment="1">
      <alignment vertical="center"/>
    </xf>
    <xf numFmtId="166" fontId="24" fillId="0" borderId="50" xfId="15" applyNumberFormat="1" applyFont="1" applyBorder="1" applyAlignment="1">
      <alignment horizontal="right" vertical="center"/>
    </xf>
    <xf numFmtId="4" fontId="24" fillId="0" borderId="22" xfId="14" applyNumberFormat="1" applyFont="1" applyBorder="1" applyAlignment="1">
      <alignment vertical="center"/>
    </xf>
    <xf numFmtId="3" fontId="24" fillId="0" borderId="50" xfId="14" applyNumberFormat="1" applyFont="1" applyBorder="1" applyAlignment="1">
      <alignment vertical="center"/>
    </xf>
    <xf numFmtId="4" fontId="24" fillId="0" borderId="70" xfId="14" applyNumberFormat="1" applyFont="1" applyBorder="1" applyAlignment="1">
      <alignment horizontal="right" vertical="center"/>
    </xf>
    <xf numFmtId="0" fontId="29" fillId="0" borderId="0" xfId="14" applyFont="1"/>
    <xf numFmtId="4" fontId="24" fillId="0" borderId="41" xfId="14" applyNumberFormat="1" applyFont="1" applyBorder="1" applyAlignment="1">
      <alignment vertical="center"/>
    </xf>
    <xf numFmtId="4" fontId="24" fillId="0" borderId="43" xfId="14" applyNumberFormat="1" applyFont="1" applyBorder="1" applyAlignment="1">
      <alignment vertical="center"/>
    </xf>
    <xf numFmtId="0" fontId="30" fillId="0" borderId="0" xfId="14" applyFont="1"/>
    <xf numFmtId="0" fontId="17" fillId="0" borderId="0" xfId="0" applyFont="1" applyAlignment="1">
      <alignment vertical="center"/>
    </xf>
    <xf numFmtId="0" fontId="14" fillId="0" borderId="0" xfId="14" applyFont="1" applyAlignment="1">
      <alignment vertical="center"/>
    </xf>
    <xf numFmtId="4" fontId="18" fillId="3" borderId="12" xfId="0" applyNumberFormat="1" applyFont="1" applyFill="1" applyBorder="1" applyAlignment="1">
      <alignment vertical="center"/>
    </xf>
    <xf numFmtId="4" fontId="18" fillId="3" borderId="11" xfId="0" applyNumberFormat="1" applyFont="1" applyFill="1" applyBorder="1" applyAlignment="1">
      <alignment vertical="center"/>
    </xf>
    <xf numFmtId="4" fontId="14" fillId="0" borderId="41" xfId="0" applyNumberFormat="1" applyFont="1" applyBorder="1"/>
    <xf numFmtId="0" fontId="14" fillId="0" borderId="12" xfId="0" applyFont="1" applyBorder="1" applyAlignment="1">
      <alignment wrapText="1"/>
    </xf>
    <xf numFmtId="167" fontId="14" fillId="0" borderId="18" xfId="0" applyNumberFormat="1" applyFont="1" applyBorder="1" applyAlignment="1">
      <alignment wrapText="1"/>
    </xf>
    <xf numFmtId="165" fontId="14" fillId="0" borderId="18" xfId="0" applyNumberFormat="1" applyFont="1" applyBorder="1"/>
    <xf numFmtId="3" fontId="14" fillId="0" borderId="50" xfId="0" applyNumberFormat="1" applyFont="1" applyBorder="1"/>
    <xf numFmtId="0" fontId="14" fillId="0" borderId="12" xfId="0" applyFont="1" applyBorder="1"/>
    <xf numFmtId="3" fontId="14" fillId="0" borderId="53" xfId="0" applyNumberFormat="1" applyFont="1" applyBorder="1" applyAlignment="1">
      <alignment horizontal="left" wrapText="1"/>
    </xf>
    <xf numFmtId="4" fontId="14" fillId="0" borderId="52" xfId="0" applyNumberFormat="1" applyFont="1" applyBorder="1"/>
    <xf numFmtId="3" fontId="14" fillId="0" borderId="67" xfId="0" applyNumberFormat="1" applyFont="1" applyBorder="1"/>
    <xf numFmtId="4" fontId="14" fillId="0" borderId="35" xfId="0" applyNumberFormat="1" applyFont="1" applyBorder="1"/>
    <xf numFmtId="4" fontId="14" fillId="0" borderId="8" xfId="14" applyNumberFormat="1" applyFont="1" applyBorder="1" applyAlignment="1">
      <alignment horizontal="right" vertical="center"/>
    </xf>
    <xf numFmtId="4" fontId="14" fillId="0" borderId="22" xfId="14" applyNumberFormat="1" applyFont="1" applyBorder="1" applyAlignment="1">
      <alignment horizontal="right" vertical="center"/>
    </xf>
    <xf numFmtId="4" fontId="14" fillId="0" borderId="41" xfId="14" applyNumberFormat="1" applyFont="1" applyBorder="1" applyAlignment="1">
      <alignment vertical="center"/>
    </xf>
    <xf numFmtId="3" fontId="18" fillId="0" borderId="0" xfId="14" applyNumberFormat="1" applyFont="1" applyAlignment="1">
      <alignment horizontal="right" vertical="center"/>
    </xf>
    <xf numFmtId="166" fontId="13" fillId="0" borderId="0" xfId="14" applyNumberFormat="1" applyFont="1" applyAlignment="1">
      <alignment horizontal="right" vertical="center" wrapText="1"/>
    </xf>
    <xf numFmtId="4" fontId="24" fillId="0" borderId="17" xfId="14" applyNumberFormat="1" applyFont="1" applyBorder="1" applyAlignment="1">
      <alignment vertical="center"/>
    </xf>
    <xf numFmtId="4" fontId="24" fillId="0" borderId="17" xfId="14" applyNumberFormat="1" applyFont="1" applyBorder="1" applyAlignment="1">
      <alignment horizontal="right" vertical="center"/>
    </xf>
    <xf numFmtId="166" fontId="14" fillId="0" borderId="0" xfId="20" applyNumberFormat="1" applyFont="1" applyAlignment="1">
      <alignment horizontal="right"/>
    </xf>
    <xf numFmtId="0" fontId="17" fillId="0" borderId="0" xfId="20" applyFont="1"/>
    <xf numFmtId="3" fontId="17" fillId="0" borderId="0" xfId="20" applyNumberFormat="1" applyFont="1"/>
    <xf numFmtId="4" fontId="17" fillId="0" borderId="0" xfId="20" applyNumberFormat="1" applyFont="1"/>
    <xf numFmtId="166" fontId="24" fillId="0" borderId="50" xfId="20" applyNumberFormat="1" applyFont="1" applyBorder="1" applyAlignment="1">
      <alignment horizontal="right" vertical="center"/>
    </xf>
    <xf numFmtId="4" fontId="24" fillId="0" borderId="71" xfId="14" applyNumberFormat="1" applyFont="1" applyBorder="1" applyAlignment="1">
      <alignment horizontal="right" vertical="center"/>
    </xf>
    <xf numFmtId="166" fontId="12" fillId="0" borderId="2" xfId="15" applyNumberFormat="1" applyFont="1" applyBorder="1" applyAlignment="1">
      <alignment horizontal="right" vertical="center"/>
    </xf>
    <xf numFmtId="3" fontId="14" fillId="0" borderId="2" xfId="0" applyNumberFormat="1" applyFont="1" applyBorder="1"/>
    <xf numFmtId="3" fontId="14" fillId="0" borderId="2" xfId="0" applyNumberFormat="1" applyFont="1" applyBorder="1" applyAlignment="1">
      <alignment wrapText="1"/>
    </xf>
    <xf numFmtId="4" fontId="14" fillId="0" borderId="8" xfId="0" applyNumberFormat="1" applyFont="1" applyBorder="1" applyAlignment="1">
      <alignment wrapText="1"/>
    </xf>
    <xf numFmtId="3" fontId="31" fillId="0" borderId="2" xfId="0" applyNumberFormat="1" applyFont="1" applyBorder="1"/>
    <xf numFmtId="4" fontId="31" fillId="0" borderId="8" xfId="0" applyNumberFormat="1" applyFont="1" applyBorder="1"/>
    <xf numFmtId="3" fontId="12" fillId="2" borderId="19" xfId="15" applyNumberFormat="1" applyFont="1" applyFill="1" applyBorder="1" applyAlignment="1">
      <alignment horizontal="center" vertical="center" wrapText="1"/>
    </xf>
    <xf numFmtId="4" fontId="12" fillId="2" borderId="20" xfId="15" applyNumberFormat="1" applyFont="1" applyFill="1" applyBorder="1" applyAlignment="1">
      <alignment horizontal="center" vertical="center" wrapText="1"/>
    </xf>
    <xf numFmtId="4" fontId="12" fillId="2" borderId="73" xfId="15" applyNumberFormat="1" applyFont="1" applyFill="1" applyBorder="1" applyAlignment="1">
      <alignment horizontal="center" vertical="center" wrapText="1"/>
    </xf>
    <xf numFmtId="10" fontId="12" fillId="0" borderId="0" xfId="0" applyNumberFormat="1" applyFont="1" applyAlignment="1">
      <alignment vertical="center"/>
    </xf>
    <xf numFmtId="4" fontId="18" fillId="3" borderId="18" xfId="0" applyNumberFormat="1" applyFont="1" applyFill="1" applyBorder="1" applyAlignment="1">
      <alignment vertical="center"/>
    </xf>
    <xf numFmtId="4" fontId="17" fillId="3" borderId="10" xfId="0" applyNumberFormat="1" applyFont="1" applyFill="1" applyBorder="1" applyAlignment="1">
      <alignment vertical="center"/>
    </xf>
    <xf numFmtId="4" fontId="12" fillId="0" borderId="0" xfId="14" applyNumberFormat="1" applyFont="1" applyAlignment="1">
      <alignment vertical="center"/>
    </xf>
    <xf numFmtId="166" fontId="12" fillId="0" borderId="0" xfId="14" applyNumberFormat="1" applyFont="1" applyAlignment="1">
      <alignment horizontal="right" vertical="center"/>
    </xf>
    <xf numFmtId="166" fontId="14" fillId="0" borderId="0" xfId="14" applyNumberFormat="1" applyFont="1" applyAlignment="1">
      <alignment horizontal="right" vertical="center"/>
    </xf>
    <xf numFmtId="166" fontId="14" fillId="0" borderId="0" xfId="20" applyNumberFormat="1" applyFont="1" applyAlignment="1">
      <alignment horizontal="right" vertical="center"/>
    </xf>
    <xf numFmtId="0" fontId="26" fillId="0" borderId="0" xfId="14" applyFont="1" applyAlignment="1">
      <alignment vertical="center"/>
    </xf>
    <xf numFmtId="0" fontId="17" fillId="0" borderId="0" xfId="20" applyFont="1" applyAlignment="1">
      <alignment vertical="center"/>
    </xf>
    <xf numFmtId="3" fontId="17" fillId="0" borderId="0" xfId="20" applyNumberFormat="1" applyFont="1" applyAlignment="1">
      <alignment vertical="center"/>
    </xf>
    <xf numFmtId="4" fontId="17" fillId="0" borderId="0" xfId="20" applyNumberFormat="1" applyFont="1" applyAlignment="1">
      <alignment vertical="center"/>
    </xf>
    <xf numFmtId="4" fontId="16" fillId="0" borderId="0" xfId="14" applyNumberFormat="1" applyFont="1" applyAlignment="1">
      <alignment vertical="center"/>
    </xf>
    <xf numFmtId="3" fontId="16" fillId="0" borderId="0" xfId="14" applyNumberFormat="1" applyFont="1" applyAlignment="1">
      <alignment vertical="center"/>
    </xf>
    <xf numFmtId="166" fontId="16" fillId="0" borderId="0" xfId="14" applyNumberFormat="1" applyFont="1" applyAlignment="1">
      <alignment horizontal="right" vertical="center"/>
    </xf>
    <xf numFmtId="0" fontId="14" fillId="0" borderId="0" xfId="14" applyFont="1" applyAlignment="1">
      <alignment horizontal="left" vertical="center"/>
    </xf>
    <xf numFmtId="0" fontId="31" fillId="0" borderId="0" xfId="14" applyFont="1" applyAlignment="1">
      <alignment vertical="center"/>
    </xf>
    <xf numFmtId="166" fontId="18" fillId="0" borderId="0" xfId="20" applyNumberFormat="1" applyFont="1" applyAlignment="1">
      <alignment horizontal="right" vertical="center"/>
    </xf>
    <xf numFmtId="4" fontId="14" fillId="0" borderId="50" xfId="0" applyNumberFormat="1" applyFont="1" applyBorder="1"/>
    <xf numFmtId="4" fontId="14" fillId="0" borderId="21" xfId="0" applyNumberFormat="1" applyFont="1" applyBorder="1"/>
    <xf numFmtId="4" fontId="14" fillId="0" borderId="22" xfId="0" applyNumberFormat="1" applyFont="1" applyBorder="1"/>
    <xf numFmtId="3" fontId="14" fillId="0" borderId="0" xfId="14" applyNumberFormat="1" applyFont="1" applyAlignment="1">
      <alignment vertical="center"/>
    </xf>
    <xf numFmtId="0" fontId="34" fillId="0" borderId="0" xfId="0" applyFont="1"/>
    <xf numFmtId="0" fontId="15" fillId="0" borderId="0" xfId="0" applyFont="1" applyAlignment="1">
      <alignment horizontal="left"/>
    </xf>
    <xf numFmtId="4" fontId="14" fillId="0" borderId="0" xfId="14" applyNumberFormat="1" applyFont="1"/>
    <xf numFmtId="3" fontId="14" fillId="0" borderId="0" xfId="14" applyNumberFormat="1" applyFont="1"/>
    <xf numFmtId="4" fontId="31" fillId="0" borderId="50" xfId="0" applyNumberFormat="1" applyFont="1" applyBorder="1"/>
    <xf numFmtId="4" fontId="14" fillId="0" borderId="0" xfId="14" applyNumberFormat="1" applyFont="1" applyAlignment="1">
      <alignment horizontal="right"/>
    </xf>
    <xf numFmtId="4" fontId="14" fillId="0" borderId="0" xfId="14" applyNumberFormat="1" applyFont="1" applyAlignment="1">
      <alignment vertical="center"/>
    </xf>
    <xf numFmtId="4" fontId="14" fillId="0" borderId="0" xfId="14" applyNumberFormat="1" applyFont="1" applyAlignment="1">
      <alignment horizontal="right" vertical="center"/>
    </xf>
    <xf numFmtId="165" fontId="14" fillId="0" borderId="25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 wrapText="1"/>
    </xf>
    <xf numFmtId="165" fontId="14" fillId="0" borderId="0" xfId="0" applyNumberFormat="1" applyFont="1" applyAlignment="1">
      <alignment horizontal="right" vertical="center"/>
    </xf>
    <xf numFmtId="0" fontId="24" fillId="0" borderId="8" xfId="14" applyFont="1" applyBorder="1" applyAlignment="1">
      <alignment vertical="center"/>
    </xf>
    <xf numFmtId="0" fontId="12" fillId="6" borderId="5" xfId="14" applyFont="1" applyFill="1" applyBorder="1" applyAlignment="1">
      <alignment horizontal="center" vertical="center"/>
    </xf>
    <xf numFmtId="3" fontId="17" fillId="6" borderId="5" xfId="14" applyNumberFormat="1" applyFont="1" applyFill="1" applyBorder="1" applyAlignment="1">
      <alignment vertical="center"/>
    </xf>
    <xf numFmtId="4" fontId="17" fillId="6" borderId="48" xfId="14" applyNumberFormat="1" applyFont="1" applyFill="1" applyBorder="1" applyAlignment="1">
      <alignment vertical="center"/>
    </xf>
    <xf numFmtId="4" fontId="17" fillId="6" borderId="6" xfId="14" applyNumberFormat="1" applyFont="1" applyFill="1" applyBorder="1" applyAlignment="1">
      <alignment vertical="center"/>
    </xf>
    <xf numFmtId="166" fontId="17" fillId="6" borderId="5" xfId="15" applyNumberFormat="1" applyFont="1" applyFill="1" applyBorder="1" applyAlignment="1">
      <alignment horizontal="right" vertical="center"/>
    </xf>
    <xf numFmtId="166" fontId="17" fillId="6" borderId="16" xfId="14" applyNumberFormat="1" applyFont="1" applyFill="1" applyBorder="1" applyAlignment="1">
      <alignment horizontal="right" vertical="center" wrapText="1"/>
    </xf>
    <xf numFmtId="0" fontId="17" fillId="6" borderId="5" xfId="14" applyFont="1" applyFill="1" applyBorder="1" applyAlignment="1">
      <alignment vertical="center"/>
    </xf>
    <xf numFmtId="3" fontId="17" fillId="6" borderId="5" xfId="14" applyNumberFormat="1" applyFont="1" applyFill="1" applyBorder="1"/>
    <xf numFmtId="166" fontId="17" fillId="6" borderId="5" xfId="15" applyNumberFormat="1" applyFont="1" applyFill="1" applyBorder="1" applyAlignment="1">
      <alignment horizontal="right"/>
    </xf>
    <xf numFmtId="166" fontId="17" fillId="6" borderId="16" xfId="14" applyNumberFormat="1" applyFont="1" applyFill="1" applyBorder="1" applyAlignment="1">
      <alignment horizontal="right" wrapText="1"/>
    </xf>
    <xf numFmtId="0" fontId="17" fillId="6" borderId="5" xfId="14" applyFont="1" applyFill="1" applyBorder="1"/>
    <xf numFmtId="3" fontId="17" fillId="6" borderId="48" xfId="14" applyNumberFormat="1" applyFont="1" applyFill="1" applyBorder="1" applyAlignment="1">
      <alignment vertical="center"/>
    </xf>
    <xf numFmtId="166" fontId="17" fillId="6" borderId="48" xfId="15" applyNumberFormat="1" applyFont="1" applyFill="1" applyBorder="1" applyAlignment="1">
      <alignment horizontal="right" vertical="center"/>
    </xf>
    <xf numFmtId="4" fontId="17" fillId="6" borderId="16" xfId="14" applyNumberFormat="1" applyFont="1" applyFill="1" applyBorder="1" applyAlignment="1">
      <alignment vertical="center"/>
    </xf>
    <xf numFmtId="4" fontId="17" fillId="6" borderId="24" xfId="14" applyNumberFormat="1" applyFont="1" applyFill="1" applyBorder="1" applyAlignment="1">
      <alignment vertical="center"/>
    </xf>
    <xf numFmtId="166" fontId="17" fillId="6" borderId="24" xfId="14" applyNumberFormat="1" applyFont="1" applyFill="1" applyBorder="1" applyAlignment="1">
      <alignment horizontal="right" vertical="center" wrapText="1"/>
    </xf>
    <xf numFmtId="0" fontId="17" fillId="6" borderId="16" xfId="14" applyFont="1" applyFill="1" applyBorder="1" applyAlignment="1">
      <alignment vertical="center"/>
    </xf>
    <xf numFmtId="4" fontId="17" fillId="6" borderId="6" xfId="14" applyNumberFormat="1" applyFont="1" applyFill="1" applyBorder="1" applyAlignment="1">
      <alignment horizontal="right" vertical="center"/>
    </xf>
    <xf numFmtId="4" fontId="17" fillId="6" borderId="65" xfId="14" applyNumberFormat="1" applyFont="1" applyFill="1" applyBorder="1" applyAlignment="1">
      <alignment horizontal="right" vertical="center"/>
    </xf>
    <xf numFmtId="0" fontId="24" fillId="0" borderId="26" xfId="14" applyFont="1" applyBorder="1" applyAlignment="1">
      <alignment vertical="center" wrapText="1"/>
    </xf>
    <xf numFmtId="166" fontId="17" fillId="6" borderId="48" xfId="20" applyNumberFormat="1" applyFont="1" applyFill="1" applyBorder="1" applyAlignment="1">
      <alignment horizontal="right" vertical="center"/>
    </xf>
    <xf numFmtId="0" fontId="17" fillId="6" borderId="16" xfId="14" applyFont="1" applyFill="1" applyBorder="1"/>
    <xf numFmtId="4" fontId="17" fillId="6" borderId="24" xfId="14" applyNumberFormat="1" applyFont="1" applyFill="1" applyBorder="1"/>
    <xf numFmtId="4" fontId="17" fillId="6" borderId="48" xfId="14" applyNumberFormat="1" applyFont="1" applyFill="1" applyBorder="1"/>
    <xf numFmtId="0" fontId="17" fillId="6" borderId="5" xfId="14" applyFont="1" applyFill="1" applyBorder="1" applyAlignment="1">
      <alignment horizontal="center" vertical="center"/>
    </xf>
    <xf numFmtId="0" fontId="17" fillId="6" borderId="56" xfId="0" applyFont="1" applyFill="1" applyBorder="1" applyAlignment="1">
      <alignment vertical="center" wrapText="1"/>
    </xf>
    <xf numFmtId="4" fontId="17" fillId="6" borderId="5" xfId="0" applyNumberFormat="1" applyFont="1" applyFill="1" applyBorder="1" applyAlignment="1">
      <alignment vertical="center"/>
    </xf>
    <xf numFmtId="4" fontId="17" fillId="6" borderId="16" xfId="0" applyNumberFormat="1" applyFont="1" applyFill="1" applyBorder="1" applyAlignment="1">
      <alignment vertical="center"/>
    </xf>
    <xf numFmtId="4" fontId="17" fillId="6" borderId="6" xfId="0" applyNumberFormat="1" applyFont="1" applyFill="1" applyBorder="1" applyAlignment="1">
      <alignment vertical="center"/>
    </xf>
    <xf numFmtId="165" fontId="14" fillId="6" borderId="10" xfId="0" applyNumberFormat="1" applyFont="1" applyFill="1" applyBorder="1" applyAlignment="1">
      <alignment horizontal="right" vertical="center"/>
    </xf>
    <xf numFmtId="3" fontId="18" fillId="3" borderId="11" xfId="0" applyNumberFormat="1" applyFont="1" applyFill="1" applyBorder="1" applyAlignment="1">
      <alignment vertical="center"/>
    </xf>
    <xf numFmtId="3" fontId="17" fillId="3" borderId="10" xfId="0" applyNumberFormat="1" applyFont="1" applyFill="1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4" fillId="7" borderId="47" xfId="0" applyFont="1" applyFill="1" applyBorder="1" applyAlignment="1">
      <alignment vertical="center" wrapText="1"/>
    </xf>
    <xf numFmtId="4" fontId="14" fillId="7" borderId="2" xfId="0" applyNumberFormat="1" applyFont="1" applyFill="1" applyBorder="1" applyAlignment="1">
      <alignment vertical="center"/>
    </xf>
    <xf numFmtId="4" fontId="14" fillId="7" borderId="41" xfId="0" applyNumberFormat="1" applyFont="1" applyFill="1" applyBorder="1" applyAlignment="1">
      <alignment vertical="center"/>
    </xf>
    <xf numFmtId="4" fontId="14" fillId="7" borderId="8" xfId="0" applyNumberFormat="1" applyFont="1" applyFill="1" applyBorder="1" applyAlignment="1">
      <alignment vertical="center"/>
    </xf>
    <xf numFmtId="165" fontId="14" fillId="7" borderId="22" xfId="0" applyNumberFormat="1" applyFont="1" applyFill="1" applyBorder="1" applyAlignment="1">
      <alignment horizontal="right" vertical="center"/>
    </xf>
    <xf numFmtId="0" fontId="14" fillId="7" borderId="59" xfId="0" applyFont="1" applyFill="1" applyBorder="1" applyAlignment="1">
      <alignment vertical="center" wrapText="1"/>
    </xf>
    <xf numFmtId="4" fontId="14" fillId="7" borderId="3" xfId="0" applyNumberFormat="1" applyFont="1" applyFill="1" applyBorder="1" applyAlignment="1">
      <alignment vertical="center"/>
    </xf>
    <xf numFmtId="4" fontId="14" fillId="7" borderId="43" xfId="0" applyNumberFormat="1" applyFont="1" applyFill="1" applyBorder="1" applyAlignment="1">
      <alignment vertical="center"/>
    </xf>
    <xf numFmtId="4" fontId="14" fillId="7" borderId="9" xfId="0" applyNumberFormat="1" applyFont="1" applyFill="1" applyBorder="1" applyAlignment="1">
      <alignment vertical="center"/>
    </xf>
    <xf numFmtId="0" fontId="17" fillId="6" borderId="5" xfId="0" applyFont="1" applyFill="1" applyBorder="1" applyAlignment="1">
      <alignment horizontal="center" vertical="center"/>
    </xf>
    <xf numFmtId="3" fontId="17" fillId="6" borderId="6" xfId="1" applyNumberFormat="1" applyFont="1" applyFill="1" applyBorder="1" applyAlignment="1">
      <alignment horizontal="center" vertical="center" wrapText="1"/>
    </xf>
    <xf numFmtId="3" fontId="17" fillId="3" borderId="10" xfId="1" applyNumberFormat="1" applyFont="1" applyFill="1" applyBorder="1" applyAlignment="1">
      <alignment horizontal="center" vertical="center" wrapText="1"/>
    </xf>
    <xf numFmtId="0" fontId="14" fillId="8" borderId="47" xfId="0" applyFont="1" applyFill="1" applyBorder="1" applyAlignment="1">
      <alignment vertical="center" wrapText="1"/>
    </xf>
    <xf numFmtId="4" fontId="14" fillId="8" borderId="2" xfId="0" applyNumberFormat="1" applyFont="1" applyFill="1" applyBorder="1" applyAlignment="1">
      <alignment vertical="center"/>
    </xf>
    <xf numFmtId="4" fontId="14" fillId="8" borderId="41" xfId="0" applyNumberFormat="1" applyFont="1" applyFill="1" applyBorder="1" applyAlignment="1">
      <alignment vertical="center"/>
    </xf>
    <xf numFmtId="4" fontId="14" fillId="8" borderId="8" xfId="0" applyNumberFormat="1" applyFont="1" applyFill="1" applyBorder="1" applyAlignment="1">
      <alignment vertical="center"/>
    </xf>
    <xf numFmtId="0" fontId="14" fillId="8" borderId="59" xfId="0" applyFont="1" applyFill="1" applyBorder="1" applyAlignment="1">
      <alignment vertical="center" wrapText="1"/>
    </xf>
    <xf numFmtId="4" fontId="14" fillId="8" borderId="3" xfId="0" applyNumberFormat="1" applyFont="1" applyFill="1" applyBorder="1" applyAlignment="1">
      <alignment vertical="center"/>
    </xf>
    <xf numFmtId="4" fontId="14" fillId="8" borderId="43" xfId="0" applyNumberFormat="1" applyFont="1" applyFill="1" applyBorder="1" applyAlignment="1">
      <alignment vertical="center"/>
    </xf>
    <xf numFmtId="4" fontId="14" fillId="8" borderId="9" xfId="0" applyNumberFormat="1" applyFont="1" applyFill="1" applyBorder="1" applyAlignment="1">
      <alignment vertical="center"/>
    </xf>
    <xf numFmtId="165" fontId="14" fillId="8" borderId="12" xfId="0" applyNumberFormat="1" applyFont="1" applyFill="1" applyBorder="1" applyAlignment="1">
      <alignment horizontal="right" vertical="center"/>
    </xf>
    <xf numFmtId="165" fontId="14" fillId="8" borderId="22" xfId="0" applyNumberFormat="1" applyFont="1" applyFill="1" applyBorder="1" applyAlignment="1">
      <alignment horizontal="right" vertical="center"/>
    </xf>
    <xf numFmtId="168" fontId="12" fillId="0" borderId="0" xfId="0" applyNumberFormat="1" applyFont="1"/>
    <xf numFmtId="0" fontId="14" fillId="0" borderId="54" xfId="0" applyFont="1" applyBorder="1" applyAlignment="1">
      <alignment vertical="center"/>
    </xf>
    <xf numFmtId="0" fontId="14" fillId="0" borderId="21" xfId="0" applyFont="1" applyBorder="1" applyAlignment="1">
      <alignment vertical="center" wrapText="1"/>
    </xf>
    <xf numFmtId="4" fontId="14" fillId="0" borderId="42" xfId="0" applyNumberFormat="1" applyFont="1" applyBorder="1" applyAlignment="1">
      <alignment vertical="center"/>
    </xf>
    <xf numFmtId="0" fontId="24" fillId="0" borderId="25" xfId="0" applyFont="1" applyBorder="1" applyAlignment="1">
      <alignment vertical="center" wrapText="1"/>
    </xf>
    <xf numFmtId="4" fontId="24" fillId="0" borderId="42" xfId="0" applyNumberFormat="1" applyFont="1" applyBorder="1" applyAlignment="1">
      <alignment horizontal="right" vertical="center"/>
    </xf>
    <xf numFmtId="3" fontId="24" fillId="0" borderId="13" xfId="0" applyNumberFormat="1" applyFont="1" applyBorder="1" applyAlignment="1">
      <alignment vertical="center"/>
    </xf>
    <xf numFmtId="4" fontId="24" fillId="0" borderId="42" xfId="0" applyNumberFormat="1" applyFont="1" applyBorder="1" applyAlignment="1">
      <alignment vertical="center"/>
    </xf>
    <xf numFmtId="3" fontId="14" fillId="0" borderId="2" xfId="0" applyNumberFormat="1" applyFont="1" applyBorder="1" applyAlignment="1">
      <alignment vertical="center"/>
    </xf>
    <xf numFmtId="4" fontId="14" fillId="0" borderId="41" xfId="0" applyNumberFormat="1" applyFont="1" applyBorder="1" applyAlignment="1">
      <alignment vertical="center"/>
    </xf>
    <xf numFmtId="4" fontId="14" fillId="0" borderId="5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/>
    </xf>
    <xf numFmtId="165" fontId="12" fillId="0" borderId="0" xfId="0" applyNumberFormat="1" applyFont="1" applyAlignment="1">
      <alignment horizontal="right"/>
    </xf>
    <xf numFmtId="3" fontId="14" fillId="6" borderId="31" xfId="1" applyNumberFormat="1" applyFont="1" applyFill="1" applyBorder="1" applyAlignment="1">
      <alignment horizontal="center" vertical="center" wrapText="1"/>
    </xf>
    <xf numFmtId="4" fontId="14" fillId="6" borderId="30" xfId="1" applyNumberFormat="1" applyFont="1" applyFill="1" applyBorder="1" applyAlignment="1">
      <alignment horizontal="center" vertical="center" wrapText="1"/>
    </xf>
    <xf numFmtId="4" fontId="14" fillId="6" borderId="68" xfId="1" applyNumberFormat="1" applyFont="1" applyFill="1" applyBorder="1" applyAlignment="1">
      <alignment horizontal="center" vertical="center" wrapText="1"/>
    </xf>
    <xf numFmtId="4" fontId="17" fillId="0" borderId="0" xfId="14" applyNumberFormat="1" applyFont="1"/>
    <xf numFmtId="3" fontId="13" fillId="0" borderId="0" xfId="15" applyNumberFormat="1" applyFont="1"/>
    <xf numFmtId="4" fontId="13" fillId="0" borderId="0" xfId="15" applyNumberFormat="1" applyFont="1"/>
    <xf numFmtId="0" fontId="17" fillId="0" borderId="10" xfId="0" applyFont="1" applyBorder="1" applyAlignment="1">
      <alignment vertical="center" wrapText="1"/>
    </xf>
    <xf numFmtId="3" fontId="17" fillId="0" borderId="5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3" fontId="17" fillId="0" borderId="48" xfId="0" applyNumberFormat="1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4" fontId="17" fillId="0" borderId="36" xfId="0" applyNumberFormat="1" applyFont="1" applyBorder="1" applyAlignment="1">
      <alignment vertical="center"/>
    </xf>
    <xf numFmtId="165" fontId="17" fillId="0" borderId="10" xfId="0" applyNumberFormat="1" applyFont="1" applyBorder="1" applyAlignment="1">
      <alignment vertical="center"/>
    </xf>
    <xf numFmtId="0" fontId="14" fillId="0" borderId="58" xfId="1" applyFont="1" applyBorder="1" applyAlignment="1">
      <alignment vertical="center"/>
    </xf>
    <xf numFmtId="165" fontId="14" fillId="0" borderId="25" xfId="1" applyNumberFormat="1" applyFont="1" applyBorder="1" applyAlignment="1">
      <alignment vertical="center"/>
    </xf>
    <xf numFmtId="0" fontId="14" fillId="0" borderId="47" xfId="1" applyFont="1" applyBorder="1" applyAlignment="1">
      <alignment vertical="center"/>
    </xf>
    <xf numFmtId="4" fontId="14" fillId="0" borderId="2" xfId="1" applyNumberFormat="1" applyFont="1" applyBorder="1" applyAlignment="1">
      <alignment vertical="center"/>
    </xf>
    <xf numFmtId="4" fontId="14" fillId="0" borderId="41" xfId="1" applyNumberFormat="1" applyFont="1" applyBorder="1" applyAlignment="1">
      <alignment vertical="center"/>
    </xf>
    <xf numFmtId="4" fontId="14" fillId="0" borderId="50" xfId="1" applyNumberFormat="1" applyFont="1" applyBorder="1" applyAlignment="1">
      <alignment vertical="center"/>
    </xf>
    <xf numFmtId="4" fontId="14" fillId="0" borderId="8" xfId="1" applyNumberFormat="1" applyFont="1" applyBorder="1" applyAlignment="1">
      <alignment vertical="center"/>
    </xf>
    <xf numFmtId="4" fontId="18" fillId="3" borderId="12" xfId="1" applyNumberFormat="1" applyFont="1" applyFill="1" applyBorder="1" applyAlignment="1">
      <alignment vertical="center"/>
    </xf>
    <xf numFmtId="165" fontId="14" fillId="0" borderId="22" xfId="1" applyNumberFormat="1" applyFont="1" applyBorder="1" applyAlignment="1">
      <alignment vertical="center"/>
    </xf>
    <xf numFmtId="0" fontId="17" fillId="0" borderId="47" xfId="1" applyFont="1" applyBorder="1" applyAlignment="1">
      <alignment vertical="center"/>
    </xf>
    <xf numFmtId="4" fontId="17" fillId="0" borderId="2" xfId="1" applyNumberFormat="1" applyFont="1" applyBorder="1" applyAlignment="1">
      <alignment vertical="center"/>
    </xf>
    <xf numFmtId="4" fontId="17" fillId="0" borderId="41" xfId="1" applyNumberFormat="1" applyFont="1" applyBorder="1" applyAlignment="1">
      <alignment vertical="center"/>
    </xf>
    <xf numFmtId="4" fontId="17" fillId="0" borderId="50" xfId="1" applyNumberFormat="1" applyFont="1" applyBorder="1" applyAlignment="1">
      <alignment vertical="center"/>
    </xf>
    <xf numFmtId="4" fontId="17" fillId="0" borderId="17" xfId="1" applyNumberFormat="1" applyFont="1" applyBorder="1" applyAlignment="1">
      <alignment vertical="center"/>
    </xf>
    <xf numFmtId="4" fontId="17" fillId="3" borderId="12" xfId="1" applyNumberFormat="1" applyFont="1" applyFill="1" applyBorder="1" applyAlignment="1">
      <alignment vertical="center"/>
    </xf>
    <xf numFmtId="165" fontId="17" fillId="0" borderId="22" xfId="1" applyNumberFormat="1" applyFont="1" applyBorder="1" applyAlignment="1">
      <alignment vertical="center"/>
    </xf>
    <xf numFmtId="4" fontId="14" fillId="0" borderId="17" xfId="1" applyNumberFormat="1" applyFont="1" applyBorder="1" applyAlignment="1">
      <alignment vertical="center"/>
    </xf>
    <xf numFmtId="0" fontId="17" fillId="0" borderId="47" xfId="1" applyFont="1" applyBorder="1" applyAlignment="1">
      <alignment vertical="center" wrapText="1"/>
    </xf>
    <xf numFmtId="0" fontId="14" fillId="0" borderId="47" xfId="1" applyFont="1" applyBorder="1" applyAlignment="1">
      <alignment vertical="center" wrapText="1"/>
    </xf>
    <xf numFmtId="0" fontId="17" fillId="0" borderId="60" xfId="1" applyFont="1" applyBorder="1" applyAlignment="1">
      <alignment vertical="center" wrapText="1"/>
    </xf>
    <xf numFmtId="4" fontId="17" fillId="0" borderId="4" xfId="1" applyNumberFormat="1" applyFont="1" applyBorder="1" applyAlignment="1">
      <alignment vertical="center"/>
    </xf>
    <xf numFmtId="4" fontId="17" fillId="0" borderId="57" xfId="1" applyNumberFormat="1" applyFont="1" applyBorder="1" applyAlignment="1">
      <alignment vertical="center"/>
    </xf>
    <xf numFmtId="4" fontId="17" fillId="0" borderId="72" xfId="1" applyNumberFormat="1" applyFont="1" applyBorder="1" applyAlignment="1">
      <alignment vertical="center"/>
    </xf>
    <xf numFmtId="4" fontId="17" fillId="0" borderId="80" xfId="1" applyNumberFormat="1" applyFont="1" applyBorder="1" applyAlignment="1">
      <alignment vertical="center"/>
    </xf>
    <xf numFmtId="4" fontId="17" fillId="3" borderId="28" xfId="1" applyNumberFormat="1" applyFont="1" applyFill="1" applyBorder="1" applyAlignment="1">
      <alignment vertical="center"/>
    </xf>
    <xf numFmtId="165" fontId="17" fillId="0" borderId="27" xfId="1" applyNumberFormat="1" applyFont="1" applyBorder="1" applyAlignment="1">
      <alignment vertical="center"/>
    </xf>
    <xf numFmtId="0" fontId="17" fillId="0" borderId="56" xfId="1" applyFont="1" applyBorder="1" applyAlignment="1">
      <alignment vertical="center" wrapText="1"/>
    </xf>
    <xf numFmtId="4" fontId="17" fillId="0" borderId="5" xfId="1" applyNumberFormat="1" applyFont="1" applyBorder="1" applyAlignment="1">
      <alignment vertical="center"/>
    </xf>
    <xf numFmtId="4" fontId="17" fillId="0" borderId="36" xfId="1" applyNumberFormat="1" applyFont="1" applyBorder="1" applyAlignment="1">
      <alignment vertical="center"/>
    </xf>
    <xf numFmtId="4" fontId="17" fillId="3" borderId="10" xfId="1" applyNumberFormat="1" applyFont="1" applyFill="1" applyBorder="1" applyAlignment="1">
      <alignment vertical="center"/>
    </xf>
    <xf numFmtId="165" fontId="17" fillId="0" borderId="24" xfId="1" applyNumberFormat="1" applyFont="1" applyBorder="1" applyAlignment="1">
      <alignment horizontal="right" vertical="center"/>
    </xf>
    <xf numFmtId="49" fontId="14" fillId="0" borderId="2" xfId="2" applyNumberFormat="1" applyFont="1" applyBorder="1" applyAlignment="1">
      <alignment horizontal="center" vertical="center"/>
    </xf>
    <xf numFmtId="0" fontId="14" fillId="0" borderId="17" xfId="2" applyFont="1" applyBorder="1" applyAlignment="1">
      <alignment vertical="center" wrapText="1"/>
    </xf>
    <xf numFmtId="3" fontId="14" fillId="0" borderId="2" xfId="2" applyNumberFormat="1" applyFont="1" applyBorder="1" applyAlignment="1">
      <alignment vertical="center"/>
    </xf>
    <xf numFmtId="4" fontId="14" fillId="0" borderId="41" xfId="2" applyNumberFormat="1" applyFont="1" applyBorder="1" applyAlignment="1">
      <alignment vertical="center"/>
    </xf>
    <xf numFmtId="166" fontId="14" fillId="0" borderId="22" xfId="0" applyNumberFormat="1" applyFont="1" applyBorder="1" applyAlignment="1">
      <alignment horizontal="right" vertical="center"/>
    </xf>
    <xf numFmtId="0" fontId="14" fillId="0" borderId="41" xfId="0" applyFont="1" applyBorder="1" applyAlignment="1">
      <alignment vertical="center"/>
    </xf>
    <xf numFmtId="49" fontId="14" fillId="0" borderId="4" xfId="2" applyNumberFormat="1" applyFont="1" applyBorder="1" applyAlignment="1">
      <alignment horizontal="center" vertical="center"/>
    </xf>
    <xf numFmtId="0" fontId="14" fillId="0" borderId="80" xfId="2" applyFont="1" applyBorder="1" applyAlignment="1">
      <alignment vertical="center" wrapText="1"/>
    </xf>
    <xf numFmtId="3" fontId="14" fillId="0" borderId="4" xfId="2" applyNumberFormat="1" applyFont="1" applyBorder="1" applyAlignment="1">
      <alignment vertical="center"/>
    </xf>
    <xf numFmtId="4" fontId="14" fillId="0" borderId="57" xfId="2" applyNumberFormat="1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17" fillId="0" borderId="36" xfId="0" applyFont="1" applyBorder="1" applyAlignment="1">
      <alignment vertical="center" wrapText="1"/>
    </xf>
    <xf numFmtId="166" fontId="17" fillId="0" borderId="24" xfId="0" applyNumberFormat="1" applyFont="1" applyBorder="1" applyAlignment="1">
      <alignment vertical="center"/>
    </xf>
    <xf numFmtId="3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166" fontId="12" fillId="0" borderId="0" xfId="0" applyNumberFormat="1" applyFont="1" applyAlignment="1">
      <alignment vertical="center"/>
    </xf>
    <xf numFmtId="3" fontId="24" fillId="0" borderId="2" xfId="0" applyNumberFormat="1" applyFont="1" applyBorder="1" applyAlignment="1">
      <alignment horizontal="right" vertical="center"/>
    </xf>
    <xf numFmtId="4" fontId="24" fillId="0" borderId="41" xfId="0" applyNumberFormat="1" applyFont="1" applyBorder="1" applyAlignment="1">
      <alignment horizontal="right" vertical="center"/>
    </xf>
    <xf numFmtId="4" fontId="24" fillId="0" borderId="8" xfId="0" applyNumberFormat="1" applyFont="1" applyBorder="1" applyAlignment="1">
      <alignment horizontal="right" vertical="center"/>
    </xf>
    <xf numFmtId="165" fontId="24" fillId="0" borderId="12" xfId="0" applyNumberFormat="1" applyFont="1" applyBorder="1" applyAlignment="1">
      <alignment vertical="center"/>
    </xf>
    <xf numFmtId="0" fontId="24" fillId="0" borderId="70" xfId="0" applyFont="1" applyBorder="1" applyAlignment="1">
      <alignment vertical="center"/>
    </xf>
    <xf numFmtId="165" fontId="18" fillId="0" borderId="14" xfId="0" applyNumberFormat="1" applyFont="1" applyBorder="1" applyAlignment="1">
      <alignment vertical="center"/>
    </xf>
    <xf numFmtId="166" fontId="14" fillId="0" borderId="0" xfId="15" applyNumberFormat="1" applyFont="1" applyAlignment="1">
      <alignment horizontal="right" vertical="center"/>
    </xf>
    <xf numFmtId="0" fontId="17" fillId="0" borderId="0" xfId="15" applyFont="1" applyAlignment="1">
      <alignment vertical="center"/>
    </xf>
    <xf numFmtId="3" fontId="17" fillId="0" borderId="0" xfId="15" applyNumberFormat="1" applyFont="1" applyAlignment="1">
      <alignment vertical="center"/>
    </xf>
    <xf numFmtId="4" fontId="17" fillId="0" borderId="0" xfId="15" applyNumberFormat="1" applyFont="1" applyAlignment="1">
      <alignment vertical="center"/>
    </xf>
    <xf numFmtId="0" fontId="12" fillId="0" borderId="0" xfId="14" applyFont="1" applyAlignment="1">
      <alignment horizontal="left" vertical="center" wrapText="1"/>
    </xf>
    <xf numFmtId="3" fontId="24" fillId="0" borderId="9" xfId="14" applyNumberFormat="1" applyFont="1" applyBorder="1" applyAlignment="1">
      <alignment vertical="center"/>
    </xf>
    <xf numFmtId="0" fontId="14" fillId="0" borderId="11" xfId="0" applyFont="1" applyBorder="1" applyAlignment="1">
      <alignment wrapText="1"/>
    </xf>
    <xf numFmtId="4" fontId="24" fillId="0" borderId="38" xfId="14" applyNumberFormat="1" applyFont="1" applyBorder="1" applyAlignment="1">
      <alignment vertical="center"/>
    </xf>
    <xf numFmtId="0" fontId="12" fillId="0" borderId="0" xfId="14" applyFont="1" applyAlignment="1">
      <alignment horizontal="center" vertical="center"/>
    </xf>
    <xf numFmtId="0" fontId="32" fillId="0" borderId="0" xfId="14" applyFont="1" applyAlignment="1">
      <alignment horizontal="left" vertical="center"/>
    </xf>
    <xf numFmtId="0" fontId="32" fillId="0" borderId="0" xfId="14" applyFont="1" applyAlignment="1">
      <alignment vertical="center"/>
    </xf>
    <xf numFmtId="0" fontId="31" fillId="0" borderId="0" xfId="14" applyFont="1" applyAlignment="1">
      <alignment horizontal="left" vertical="center"/>
    </xf>
    <xf numFmtId="4" fontId="24" fillId="0" borderId="70" xfId="14" applyNumberFormat="1" applyFont="1" applyBorder="1" applyAlignment="1">
      <alignment vertical="center"/>
    </xf>
    <xf numFmtId="0" fontId="24" fillId="0" borderId="70" xfId="14" applyFont="1" applyBorder="1" applyAlignment="1">
      <alignment vertical="center" wrapText="1"/>
    </xf>
    <xf numFmtId="4" fontId="24" fillId="0" borderId="50" xfId="14" applyNumberFormat="1" applyFont="1" applyBorder="1" applyAlignment="1">
      <alignment vertical="center"/>
    </xf>
    <xf numFmtId="0" fontId="24" fillId="0" borderId="8" xfId="14" applyFont="1" applyBorder="1" applyAlignment="1">
      <alignment vertical="center" wrapText="1"/>
    </xf>
    <xf numFmtId="4" fontId="24" fillId="5" borderId="38" xfId="0" applyNumberFormat="1" applyFont="1" applyFill="1" applyBorder="1" applyAlignment="1">
      <alignment vertical="center"/>
    </xf>
    <xf numFmtId="3" fontId="31" fillId="0" borderId="50" xfId="0" applyNumberFormat="1" applyFont="1" applyBorder="1"/>
    <xf numFmtId="3" fontId="18" fillId="0" borderId="63" xfId="0" applyNumberFormat="1" applyFont="1" applyBorder="1" applyAlignment="1">
      <alignment horizontal="right" vertical="center"/>
    </xf>
    <xf numFmtId="4" fontId="18" fillId="0" borderId="45" xfId="0" applyNumberFormat="1" applyFont="1" applyBorder="1" applyAlignment="1">
      <alignment horizontal="right" vertical="center"/>
    </xf>
    <xf numFmtId="4" fontId="18" fillId="0" borderId="7" xfId="0" applyNumberFormat="1" applyFont="1" applyBorder="1" applyAlignment="1">
      <alignment horizontal="right" vertical="center"/>
    </xf>
    <xf numFmtId="4" fontId="18" fillId="0" borderId="21" xfId="0" applyNumberFormat="1" applyFont="1" applyBorder="1" applyAlignment="1">
      <alignment horizontal="right" vertical="center"/>
    </xf>
    <xf numFmtId="0" fontId="24" fillId="0" borderId="79" xfId="0" applyFont="1" applyBorder="1" applyAlignment="1">
      <alignment vertical="center"/>
    </xf>
    <xf numFmtId="4" fontId="24" fillId="0" borderId="46" xfId="0" applyNumberFormat="1" applyFont="1" applyBorder="1" applyAlignment="1">
      <alignment horizontal="right" vertical="center"/>
    </xf>
    <xf numFmtId="3" fontId="24" fillId="0" borderId="19" xfId="0" applyNumberFormat="1" applyFont="1" applyBorder="1" applyAlignment="1">
      <alignment horizontal="right" vertical="center"/>
    </xf>
    <xf numFmtId="4" fontId="24" fillId="0" borderId="20" xfId="0" applyNumberFormat="1" applyFont="1" applyBorder="1" applyAlignment="1">
      <alignment horizontal="right" vertical="center"/>
    </xf>
    <xf numFmtId="4" fontId="24" fillId="0" borderId="23" xfId="0" applyNumberFormat="1" applyFont="1" applyBorder="1" applyAlignment="1">
      <alignment horizontal="right" vertical="center"/>
    </xf>
    <xf numFmtId="165" fontId="24" fillId="0" borderId="62" xfId="0" applyNumberFormat="1" applyFont="1" applyBorder="1" applyAlignment="1">
      <alignment vertical="center"/>
    </xf>
    <xf numFmtId="165" fontId="24" fillId="0" borderId="62" xfId="0" applyNumberFormat="1" applyFont="1" applyBorder="1" applyAlignment="1">
      <alignment horizontal="right" vertical="center"/>
    </xf>
    <xf numFmtId="0" fontId="21" fillId="0" borderId="0" xfId="1" applyFont="1" applyAlignment="1">
      <alignment vertical="center"/>
    </xf>
    <xf numFmtId="3" fontId="12" fillId="0" borderId="0" xfId="1" applyNumberFormat="1" applyFont="1" applyAlignment="1">
      <alignment vertical="center"/>
    </xf>
    <xf numFmtId="0" fontId="24" fillId="0" borderId="77" xfId="0" applyFont="1" applyBorder="1" applyAlignment="1">
      <alignment vertical="center"/>
    </xf>
    <xf numFmtId="14" fontId="12" fillId="0" borderId="0" xfId="0" applyNumberFormat="1" applyFont="1" applyAlignment="1">
      <alignment vertical="center"/>
    </xf>
    <xf numFmtId="0" fontId="15" fillId="0" borderId="0" xfId="14" applyFont="1" applyAlignment="1">
      <alignment horizontal="left" vertical="center"/>
    </xf>
    <xf numFmtId="0" fontId="15" fillId="0" borderId="0" xfId="14" applyFont="1" applyAlignment="1">
      <alignment horizontal="center" vertical="center"/>
    </xf>
    <xf numFmtId="3" fontId="27" fillId="0" borderId="0" xfId="14" applyNumberFormat="1" applyFont="1" applyAlignment="1">
      <alignment vertical="center"/>
    </xf>
    <xf numFmtId="4" fontId="27" fillId="0" borderId="0" xfId="14" applyNumberFormat="1" applyFont="1" applyAlignment="1">
      <alignment vertical="center"/>
    </xf>
    <xf numFmtId="0" fontId="16" fillId="0" borderId="0" xfId="14" applyFont="1" applyAlignment="1">
      <alignment horizontal="center" vertical="center"/>
    </xf>
    <xf numFmtId="0" fontId="17" fillId="0" borderId="76" xfId="15" applyFont="1" applyBorder="1" applyAlignment="1">
      <alignment vertical="center"/>
    </xf>
    <xf numFmtId="14" fontId="18" fillId="0" borderId="0" xfId="0" applyNumberFormat="1" applyFont="1" applyAlignment="1">
      <alignment vertical="center" wrapText="1"/>
    </xf>
    <xf numFmtId="165" fontId="24" fillId="0" borderId="18" xfId="0" applyNumberFormat="1" applyFont="1" applyBorder="1" applyAlignment="1">
      <alignment horizontal="right" vertical="center"/>
    </xf>
    <xf numFmtId="0" fontId="17" fillId="0" borderId="54" xfId="0" applyFont="1" applyBorder="1" applyAlignment="1">
      <alignment vertical="center"/>
    </xf>
    <xf numFmtId="165" fontId="17" fillId="0" borderId="24" xfId="0" applyNumberFormat="1" applyFont="1" applyBorder="1" applyAlignment="1">
      <alignment vertical="center"/>
    </xf>
    <xf numFmtId="165" fontId="17" fillId="6" borderId="48" xfId="14" applyNumberFormat="1" applyFont="1" applyFill="1" applyBorder="1" applyAlignment="1">
      <alignment vertical="center"/>
    </xf>
    <xf numFmtId="165" fontId="17" fillId="6" borderId="24" xfId="14" applyNumberFormat="1" applyFont="1" applyFill="1" applyBorder="1" applyAlignment="1">
      <alignment vertical="center"/>
    </xf>
    <xf numFmtId="0" fontId="12" fillId="0" borderId="0" xfId="0" applyFont="1" applyAlignment="1">
      <alignment horizontal="left" wrapText="1"/>
    </xf>
    <xf numFmtId="0" fontId="17" fillId="6" borderId="36" xfId="14" applyFont="1" applyFill="1" applyBorder="1" applyAlignment="1">
      <alignment vertical="center"/>
    </xf>
    <xf numFmtId="0" fontId="17" fillId="6" borderId="24" xfId="14" applyFont="1" applyFill="1" applyBorder="1" applyAlignment="1">
      <alignment vertical="center"/>
    </xf>
    <xf numFmtId="4" fontId="17" fillId="0" borderId="19" xfId="1" applyNumberFormat="1" applyFont="1" applyBorder="1" applyAlignment="1">
      <alignment vertical="center"/>
    </xf>
    <xf numFmtId="0" fontId="17" fillId="6" borderId="10" xfId="0" applyFont="1" applyFill="1" applyBorder="1" applyAlignment="1">
      <alignment wrapText="1"/>
    </xf>
    <xf numFmtId="3" fontId="17" fillId="6" borderId="5" xfId="0" applyNumberFormat="1" applyFont="1" applyFill="1" applyBorder="1" applyAlignment="1">
      <alignment wrapText="1"/>
    </xf>
    <xf numFmtId="4" fontId="17" fillId="6" borderId="6" xfId="0" applyNumberFormat="1" applyFont="1" applyFill="1" applyBorder="1" applyAlignment="1">
      <alignment wrapText="1"/>
    </xf>
    <xf numFmtId="4" fontId="17" fillId="6" borderId="36" xfId="0" applyNumberFormat="1" applyFont="1" applyFill="1" applyBorder="1" applyAlignment="1">
      <alignment wrapText="1"/>
    </xf>
    <xf numFmtId="0" fontId="14" fillId="0" borderId="28" xfId="0" applyFont="1" applyBorder="1" applyAlignment="1">
      <alignment wrapText="1"/>
    </xf>
    <xf numFmtId="4" fontId="24" fillId="0" borderId="50" xfId="14" applyNumberFormat="1" applyFont="1" applyBorder="1" applyAlignment="1">
      <alignment horizontal="right" vertical="center"/>
    </xf>
    <xf numFmtId="3" fontId="14" fillId="0" borderId="47" xfId="14" applyNumberFormat="1" applyFont="1" applyBorder="1" applyAlignment="1">
      <alignment horizontal="right" vertical="center"/>
    </xf>
    <xf numFmtId="3" fontId="24" fillId="0" borderId="47" xfId="14" applyNumberFormat="1" applyFont="1" applyBorder="1" applyAlignment="1">
      <alignment horizontal="right" vertical="center"/>
    </xf>
    <xf numFmtId="4" fontId="24" fillId="0" borderId="51" xfId="14" applyNumberFormat="1" applyFont="1" applyBorder="1" applyAlignment="1">
      <alignment horizontal="right" vertical="center"/>
    </xf>
    <xf numFmtId="4" fontId="24" fillId="5" borderId="8" xfId="14" applyNumberFormat="1" applyFont="1" applyFill="1" applyBorder="1" applyAlignment="1">
      <alignment horizontal="right" vertical="center"/>
    </xf>
    <xf numFmtId="3" fontId="24" fillId="5" borderId="2" xfId="14" applyNumberFormat="1" applyFont="1" applyFill="1" applyBorder="1" applyAlignment="1">
      <alignment vertical="center"/>
    </xf>
    <xf numFmtId="4" fontId="24" fillId="5" borderId="25" xfId="14" applyNumberFormat="1" applyFont="1" applyFill="1" applyBorder="1" applyAlignment="1">
      <alignment horizontal="right" vertical="center"/>
    </xf>
    <xf numFmtId="3" fontId="24" fillId="5" borderId="13" xfId="14" applyNumberFormat="1" applyFont="1" applyFill="1" applyBorder="1" applyAlignment="1">
      <alignment horizontal="right" vertical="center"/>
    </xf>
    <xf numFmtId="166" fontId="24" fillId="5" borderId="2" xfId="15" applyNumberFormat="1" applyFont="1" applyFill="1" applyBorder="1" applyAlignment="1">
      <alignment horizontal="right" vertical="center"/>
    </xf>
    <xf numFmtId="166" fontId="24" fillId="5" borderId="41" xfId="14" applyNumberFormat="1" applyFont="1" applyFill="1" applyBorder="1" applyAlignment="1">
      <alignment horizontal="right" vertical="center" wrapText="1"/>
    </xf>
    <xf numFmtId="3" fontId="24" fillId="5" borderId="13" xfId="14" applyNumberFormat="1" applyFont="1" applyFill="1" applyBorder="1" applyAlignment="1">
      <alignment vertical="center"/>
    </xf>
    <xf numFmtId="4" fontId="24" fillId="5" borderId="15" xfId="14" applyNumberFormat="1" applyFont="1" applyFill="1" applyBorder="1" applyAlignment="1">
      <alignment horizontal="right" vertical="center"/>
    </xf>
    <xf numFmtId="4" fontId="24" fillId="5" borderId="26" xfId="14" applyNumberFormat="1" applyFont="1" applyFill="1" applyBorder="1" applyAlignment="1">
      <alignment horizontal="right" vertical="center"/>
    </xf>
    <xf numFmtId="3" fontId="24" fillId="5" borderId="3" xfId="14" applyNumberFormat="1" applyFont="1" applyFill="1" applyBorder="1" applyAlignment="1">
      <alignment vertical="center"/>
    </xf>
    <xf numFmtId="0" fontId="24" fillId="0" borderId="17" xfId="19" applyFont="1" applyBorder="1" applyAlignment="1">
      <alignment vertical="center" wrapText="1"/>
    </xf>
    <xf numFmtId="4" fontId="14" fillId="0" borderId="42" xfId="14" applyNumberFormat="1" applyFont="1" applyBorder="1" applyAlignment="1">
      <alignment vertical="center"/>
    </xf>
    <xf numFmtId="3" fontId="14" fillId="0" borderId="58" xfId="14" applyNumberFormat="1" applyFont="1" applyBorder="1" applyAlignment="1">
      <alignment horizontal="right" vertical="center"/>
    </xf>
    <xf numFmtId="4" fontId="14" fillId="0" borderId="15" xfId="14" applyNumberFormat="1" applyFont="1" applyBorder="1" applyAlignment="1">
      <alignment vertical="center"/>
    </xf>
    <xf numFmtId="4" fontId="14" fillId="0" borderId="77" xfId="14" applyNumberFormat="1" applyFont="1" applyBorder="1" applyAlignment="1">
      <alignment vertical="center"/>
    </xf>
    <xf numFmtId="4" fontId="14" fillId="0" borderId="15" xfId="14" applyNumberFormat="1" applyFont="1" applyBorder="1" applyAlignment="1">
      <alignment horizontal="right" vertical="center"/>
    </xf>
    <xf numFmtId="4" fontId="14" fillId="0" borderId="25" xfId="14" applyNumberFormat="1" applyFont="1" applyBorder="1" applyAlignment="1">
      <alignment horizontal="right" vertical="center"/>
    </xf>
    <xf numFmtId="3" fontId="17" fillId="0" borderId="1" xfId="14" applyNumberFormat="1" applyFont="1" applyBorder="1" applyAlignment="1">
      <alignment vertical="center"/>
    </xf>
    <xf numFmtId="4" fontId="17" fillId="0" borderId="45" xfId="14" applyNumberFormat="1" applyFont="1" applyBorder="1" applyAlignment="1">
      <alignment vertical="center"/>
    </xf>
    <xf numFmtId="3" fontId="17" fillId="0" borderId="7" xfId="14" applyNumberFormat="1" applyFont="1" applyBorder="1" applyAlignment="1">
      <alignment horizontal="right" vertical="center"/>
    </xf>
    <xf numFmtId="4" fontId="17" fillId="0" borderId="7" xfId="14" applyNumberFormat="1" applyFont="1" applyBorder="1" applyAlignment="1">
      <alignment horizontal="right" vertical="center"/>
    </xf>
    <xf numFmtId="4" fontId="17" fillId="0" borderId="21" xfId="14" applyNumberFormat="1" applyFont="1" applyBorder="1" applyAlignment="1">
      <alignment horizontal="right" vertical="center"/>
    </xf>
    <xf numFmtId="166" fontId="17" fillId="0" borderId="1" xfId="15" applyNumberFormat="1" applyFont="1" applyBorder="1" applyAlignment="1">
      <alignment horizontal="right" vertical="center"/>
    </xf>
    <xf numFmtId="166" fontId="17" fillId="0" borderId="45" xfId="14" applyNumberFormat="1" applyFont="1" applyBorder="1" applyAlignment="1">
      <alignment horizontal="right" vertical="center" wrapText="1"/>
    </xf>
    <xf numFmtId="3" fontId="18" fillId="0" borderId="0" xfId="14" applyNumberFormat="1" applyFont="1" applyAlignment="1">
      <alignment horizontal="left" vertical="center"/>
    </xf>
    <xf numFmtId="0" fontId="18" fillId="0" borderId="0" xfId="14" applyFont="1" applyAlignment="1">
      <alignment horizontal="left" vertical="center"/>
    </xf>
    <xf numFmtId="3" fontId="17" fillId="0" borderId="13" xfId="14" applyNumberFormat="1" applyFont="1" applyBorder="1" applyAlignment="1">
      <alignment vertical="center"/>
    </xf>
    <xf numFmtId="4" fontId="17" fillId="0" borderId="42" xfId="14" applyNumberFormat="1" applyFont="1" applyBorder="1" applyAlignment="1">
      <alignment vertical="center"/>
    </xf>
    <xf numFmtId="3" fontId="17" fillId="0" borderId="15" xfId="14" applyNumberFormat="1" applyFont="1" applyBorder="1" applyAlignment="1">
      <alignment vertical="center"/>
    </xf>
    <xf numFmtId="4" fontId="17" fillId="0" borderId="49" xfId="14" applyNumberFormat="1" applyFont="1" applyBorder="1" applyAlignment="1">
      <alignment vertical="center"/>
    </xf>
    <xf numFmtId="4" fontId="17" fillId="0" borderId="15" xfId="14" applyNumberFormat="1" applyFont="1" applyBorder="1" applyAlignment="1">
      <alignment horizontal="right" vertical="center"/>
    </xf>
    <xf numFmtId="4" fontId="17" fillId="0" borderId="25" xfId="14" applyNumberFormat="1" applyFont="1" applyBorder="1" applyAlignment="1">
      <alignment horizontal="right" vertical="center"/>
    </xf>
    <xf numFmtId="166" fontId="17" fillId="0" borderId="13" xfId="15" applyNumberFormat="1" applyFont="1" applyBorder="1" applyAlignment="1">
      <alignment horizontal="right" vertical="center"/>
    </xf>
    <xf numFmtId="166" fontId="17" fillId="0" borderId="42" xfId="14" applyNumberFormat="1" applyFont="1" applyBorder="1" applyAlignment="1">
      <alignment horizontal="right" vertical="center" wrapText="1"/>
    </xf>
    <xf numFmtId="4" fontId="17" fillId="0" borderId="15" xfId="14" applyNumberFormat="1" applyFont="1" applyBorder="1" applyAlignment="1">
      <alignment vertical="center"/>
    </xf>
    <xf numFmtId="3" fontId="17" fillId="0" borderId="2" xfId="14" applyNumberFormat="1" applyFont="1" applyBorder="1" applyAlignment="1">
      <alignment vertical="center"/>
    </xf>
    <xf numFmtId="4" fontId="17" fillId="0" borderId="41" xfId="14" applyNumberFormat="1" applyFont="1" applyBorder="1" applyAlignment="1">
      <alignment vertical="center"/>
    </xf>
    <xf numFmtId="3" fontId="17" fillId="0" borderId="47" xfId="14" applyNumberFormat="1" applyFont="1" applyBorder="1" applyAlignment="1">
      <alignment horizontal="right" vertical="center"/>
    </xf>
    <xf numFmtId="4" fontId="17" fillId="0" borderId="8" xfId="14" applyNumberFormat="1" applyFont="1" applyBorder="1" applyAlignment="1">
      <alignment horizontal="right" vertical="center"/>
    </xf>
    <xf numFmtId="4" fontId="17" fillId="0" borderId="22" xfId="14" applyNumberFormat="1" applyFont="1" applyBorder="1" applyAlignment="1">
      <alignment horizontal="right" vertical="center"/>
    </xf>
    <xf numFmtId="166" fontId="17" fillId="0" borderId="2" xfId="15" applyNumberFormat="1" applyFont="1" applyBorder="1" applyAlignment="1">
      <alignment horizontal="right" vertical="center"/>
    </xf>
    <xf numFmtId="166" fontId="17" fillId="0" borderId="41" xfId="14" applyNumberFormat="1" applyFont="1" applyBorder="1" applyAlignment="1">
      <alignment horizontal="right" vertical="center" wrapText="1"/>
    </xf>
    <xf numFmtId="0" fontId="16" fillId="0" borderId="0" xfId="14" applyFont="1" applyAlignment="1">
      <alignment horizontal="left" vertical="center"/>
    </xf>
    <xf numFmtId="3" fontId="14" fillId="0" borderId="77" xfId="14" applyNumberFormat="1" applyFont="1" applyBorder="1" applyAlignment="1">
      <alignment horizontal="right" vertical="center"/>
    </xf>
    <xf numFmtId="4" fontId="14" fillId="0" borderId="77" xfId="14" applyNumberFormat="1" applyFont="1" applyBorder="1" applyAlignment="1">
      <alignment horizontal="right" vertical="center"/>
    </xf>
    <xf numFmtId="0" fontId="17" fillId="0" borderId="2" xfId="14" applyFont="1" applyBorder="1" applyAlignment="1">
      <alignment vertical="center"/>
    </xf>
    <xf numFmtId="4" fontId="14" fillId="5" borderId="26" xfId="14" applyNumberFormat="1" applyFont="1" applyFill="1" applyBorder="1" applyAlignment="1">
      <alignment horizontal="right" vertical="center"/>
    </xf>
    <xf numFmtId="3" fontId="14" fillId="5" borderId="3" xfId="14" applyNumberFormat="1" applyFont="1" applyFill="1" applyBorder="1" applyAlignment="1">
      <alignment vertical="center"/>
    </xf>
    <xf numFmtId="166" fontId="14" fillId="5" borderId="2" xfId="15" applyNumberFormat="1" applyFont="1" applyFill="1" applyBorder="1" applyAlignment="1">
      <alignment horizontal="right" vertical="center"/>
    </xf>
    <xf numFmtId="166" fontId="14" fillId="5" borderId="41" xfId="14" applyNumberFormat="1" applyFont="1" applyFill="1" applyBorder="1" applyAlignment="1">
      <alignment horizontal="right" vertical="center" wrapText="1"/>
    </xf>
    <xf numFmtId="0" fontId="13" fillId="0" borderId="0" xfId="14" applyFont="1" applyAlignment="1">
      <alignment vertical="center"/>
    </xf>
    <xf numFmtId="4" fontId="17" fillId="0" borderId="63" xfId="14" applyNumberFormat="1" applyFont="1" applyBorder="1" applyAlignment="1">
      <alignment vertical="center"/>
    </xf>
    <xf numFmtId="3" fontId="17" fillId="0" borderId="1" xfId="14" applyNumberFormat="1" applyFont="1" applyBorder="1" applyAlignment="1">
      <alignment horizontal="right" vertical="center"/>
    </xf>
    <xf numFmtId="4" fontId="17" fillId="0" borderId="22" xfId="14" applyNumberFormat="1" applyFont="1" applyBorder="1" applyAlignment="1">
      <alignment vertical="center"/>
    </xf>
    <xf numFmtId="166" fontId="17" fillId="0" borderId="51" xfId="15" applyNumberFormat="1" applyFont="1" applyBorder="1" applyAlignment="1">
      <alignment horizontal="right" vertical="center"/>
    </xf>
    <xf numFmtId="166" fontId="17" fillId="0" borderId="43" xfId="14" applyNumberFormat="1" applyFont="1" applyBorder="1" applyAlignment="1">
      <alignment horizontal="right" vertical="center" wrapText="1"/>
    </xf>
    <xf numFmtId="166" fontId="17" fillId="0" borderId="63" xfId="15" applyNumberFormat="1" applyFont="1" applyBorder="1" applyAlignment="1">
      <alignment horizontal="right" vertical="center"/>
    </xf>
    <xf numFmtId="3" fontId="17" fillId="0" borderId="3" xfId="14" applyNumberFormat="1" applyFont="1" applyBorder="1" applyAlignment="1">
      <alignment vertical="center"/>
    </xf>
    <xf numFmtId="4" fontId="17" fillId="0" borderId="26" xfId="14" applyNumberFormat="1" applyFont="1" applyBorder="1" applyAlignment="1">
      <alignment vertical="center"/>
    </xf>
    <xf numFmtId="4" fontId="17" fillId="0" borderId="9" xfId="14" applyNumberFormat="1" applyFont="1" applyBorder="1" applyAlignment="1">
      <alignment horizontal="right" vertical="center"/>
    </xf>
    <xf numFmtId="4" fontId="17" fillId="0" borderId="71" xfId="14" applyNumberFormat="1" applyFont="1" applyBorder="1" applyAlignment="1">
      <alignment horizontal="right" vertical="center"/>
    </xf>
    <xf numFmtId="3" fontId="17" fillId="0" borderId="19" xfId="14" applyNumberFormat="1" applyFont="1" applyBorder="1" applyAlignment="1">
      <alignment vertical="center"/>
    </xf>
    <xf numFmtId="4" fontId="17" fillId="0" borderId="20" xfId="14" applyNumberFormat="1" applyFont="1" applyBorder="1" applyAlignment="1">
      <alignment horizontal="right" vertical="center"/>
    </xf>
    <xf numFmtId="0" fontId="17" fillId="0" borderId="3" xfId="14" applyFont="1" applyBorder="1" applyAlignment="1">
      <alignment horizontal="center" vertical="center"/>
    </xf>
    <xf numFmtId="0" fontId="17" fillId="0" borderId="1" xfId="14" applyFont="1" applyBorder="1" applyAlignment="1">
      <alignment horizontal="centerContinuous" vertical="center"/>
    </xf>
    <xf numFmtId="4" fontId="17" fillId="0" borderId="43" xfId="14" applyNumberFormat="1" applyFont="1" applyBorder="1" applyAlignment="1">
      <alignment horizontal="right" vertical="center"/>
    </xf>
    <xf numFmtId="4" fontId="17" fillId="0" borderId="26" xfId="14" applyNumberFormat="1" applyFont="1" applyBorder="1" applyAlignment="1">
      <alignment horizontal="right" vertical="center"/>
    </xf>
    <xf numFmtId="166" fontId="17" fillId="0" borderId="50" xfId="15" applyNumberFormat="1" applyFont="1" applyBorder="1" applyAlignment="1">
      <alignment horizontal="right" vertical="center"/>
    </xf>
    <xf numFmtId="0" fontId="17" fillId="0" borderId="2" xfId="14" applyFont="1" applyBorder="1" applyAlignment="1">
      <alignment horizontal="center" vertical="center"/>
    </xf>
    <xf numFmtId="4" fontId="17" fillId="0" borderId="41" xfId="14" applyNumberFormat="1" applyFont="1" applyBorder="1" applyAlignment="1">
      <alignment horizontal="right" vertical="center"/>
    </xf>
    <xf numFmtId="0" fontId="17" fillId="0" borderId="1" xfId="14" applyFont="1" applyBorder="1" applyAlignment="1">
      <alignment horizontal="center" vertical="center"/>
    </xf>
    <xf numFmtId="4" fontId="17" fillId="0" borderId="21" xfId="14" applyNumberFormat="1" applyFont="1" applyBorder="1" applyAlignment="1">
      <alignment vertical="center"/>
    </xf>
    <xf numFmtId="4" fontId="17" fillId="0" borderId="45" xfId="14" applyNumberFormat="1" applyFont="1" applyBorder="1" applyAlignment="1">
      <alignment horizontal="right" vertical="center"/>
    </xf>
    <xf numFmtId="166" fontId="17" fillId="0" borderId="45" xfId="15" applyNumberFormat="1" applyFont="1" applyBorder="1" applyAlignment="1">
      <alignment horizontal="right" vertical="center" wrapText="1"/>
    </xf>
    <xf numFmtId="0" fontId="17" fillId="5" borderId="2" xfId="14" applyFont="1" applyFill="1" applyBorder="1" applyAlignment="1">
      <alignment horizontal="center" vertical="center"/>
    </xf>
    <xf numFmtId="0" fontId="17" fillId="0" borderId="19" xfId="14" applyFont="1" applyBorder="1" applyAlignment="1">
      <alignment horizontal="center" vertical="center"/>
    </xf>
    <xf numFmtId="3" fontId="17" fillId="0" borderId="63" xfId="14" applyNumberFormat="1" applyFont="1" applyBorder="1" applyAlignment="1">
      <alignment vertical="center"/>
    </xf>
    <xf numFmtId="4" fontId="17" fillId="0" borderId="75" xfId="14" applyNumberFormat="1" applyFont="1" applyBorder="1" applyAlignment="1">
      <alignment vertical="center"/>
    </xf>
    <xf numFmtId="3" fontId="17" fillId="0" borderId="50" xfId="14" applyNumberFormat="1" applyFont="1" applyBorder="1" applyAlignment="1">
      <alignment vertical="center"/>
    </xf>
    <xf numFmtId="4" fontId="17" fillId="0" borderId="43" xfId="14" applyNumberFormat="1" applyFont="1" applyBorder="1" applyAlignment="1">
      <alignment vertical="center"/>
    </xf>
    <xf numFmtId="3" fontId="17" fillId="0" borderId="51" xfId="14" applyNumberFormat="1" applyFont="1" applyBorder="1" applyAlignment="1">
      <alignment vertical="center"/>
    </xf>
    <xf numFmtId="4" fontId="17" fillId="0" borderId="37" xfId="14" applyNumberFormat="1" applyFont="1" applyBorder="1" applyAlignment="1">
      <alignment vertical="center"/>
    </xf>
    <xf numFmtId="3" fontId="18" fillId="0" borderId="0" xfId="14" applyNumberFormat="1" applyFont="1" applyAlignment="1">
      <alignment vertical="center"/>
    </xf>
    <xf numFmtId="4" fontId="17" fillId="0" borderId="71" xfId="14" applyNumberFormat="1" applyFont="1" applyBorder="1" applyAlignment="1">
      <alignment vertical="center"/>
    </xf>
    <xf numFmtId="4" fontId="17" fillId="0" borderId="46" xfId="14" applyNumberFormat="1" applyFont="1" applyBorder="1" applyAlignment="1">
      <alignment vertical="center"/>
    </xf>
    <xf numFmtId="4" fontId="17" fillId="0" borderId="50" xfId="14" applyNumberFormat="1" applyFont="1" applyBorder="1" applyAlignment="1">
      <alignment vertical="center"/>
    </xf>
    <xf numFmtId="3" fontId="17" fillId="0" borderId="58" xfId="14" applyNumberFormat="1" applyFont="1" applyBorder="1" applyAlignment="1">
      <alignment horizontal="right" vertical="center"/>
    </xf>
    <xf numFmtId="0" fontId="13" fillId="0" borderId="0" xfId="14" applyFont="1"/>
    <xf numFmtId="4" fontId="17" fillId="0" borderId="51" xfId="14" applyNumberFormat="1" applyFont="1" applyBorder="1" applyAlignment="1">
      <alignment horizontal="right" vertical="center"/>
    </xf>
    <xf numFmtId="0" fontId="25" fillId="0" borderId="0" xfId="14" applyFont="1"/>
    <xf numFmtId="3" fontId="17" fillId="0" borderId="2" xfId="14" applyNumberFormat="1" applyFont="1" applyBorder="1" applyAlignment="1">
      <alignment horizontal="right" vertical="center"/>
    </xf>
    <xf numFmtId="166" fontId="17" fillId="0" borderId="50" xfId="20" applyNumberFormat="1" applyFont="1" applyBorder="1" applyAlignment="1">
      <alignment horizontal="right" vertical="center"/>
    </xf>
    <xf numFmtId="4" fontId="17" fillId="0" borderId="50" xfId="14" applyNumberFormat="1" applyFont="1" applyBorder="1" applyAlignment="1">
      <alignment horizontal="right" vertical="center"/>
    </xf>
    <xf numFmtId="4" fontId="17" fillId="0" borderId="70" xfId="14" applyNumberFormat="1" applyFont="1" applyBorder="1" applyAlignment="1">
      <alignment horizontal="right" vertical="center"/>
    </xf>
    <xf numFmtId="166" fontId="17" fillId="0" borderId="41" xfId="20" applyNumberFormat="1" applyFont="1" applyBorder="1" applyAlignment="1">
      <alignment horizontal="right" vertical="center" wrapText="1"/>
    </xf>
    <xf numFmtId="0" fontId="17" fillId="0" borderId="1" xfId="19" applyFont="1" applyBorder="1" applyAlignment="1">
      <alignment horizontal="center" vertical="center"/>
    </xf>
    <xf numFmtId="3" fontId="17" fillId="0" borderId="7" xfId="14" applyNumberFormat="1" applyFont="1" applyBorder="1" applyAlignment="1">
      <alignment vertical="center"/>
    </xf>
    <xf numFmtId="0" fontId="17" fillId="0" borderId="2" xfId="19" applyFont="1" applyBorder="1" applyAlignment="1">
      <alignment horizontal="center" vertical="center"/>
    </xf>
    <xf numFmtId="3" fontId="17" fillId="0" borderId="8" xfId="14" applyNumberFormat="1" applyFont="1" applyBorder="1" applyAlignment="1">
      <alignment vertical="center"/>
    </xf>
    <xf numFmtId="0" fontId="25" fillId="0" borderId="0" xfId="14" applyFont="1" applyAlignment="1">
      <alignment vertical="center"/>
    </xf>
    <xf numFmtId="3" fontId="17" fillId="0" borderId="9" xfId="14" applyNumberFormat="1" applyFont="1" applyBorder="1" applyAlignment="1">
      <alignment vertical="center"/>
    </xf>
    <xf numFmtId="0" fontId="17" fillId="0" borderId="8" xfId="14" applyFont="1" applyBorder="1" applyAlignment="1">
      <alignment vertical="top" wrapText="1"/>
    </xf>
    <xf numFmtId="166" fontId="17" fillId="5" borderId="1" xfId="15" applyNumberFormat="1" applyFont="1" applyFill="1" applyBorder="1" applyAlignment="1">
      <alignment horizontal="right" vertical="center"/>
    </xf>
    <xf numFmtId="166" fontId="17" fillId="5" borderId="45" xfId="14" applyNumberFormat="1" applyFont="1" applyFill="1" applyBorder="1" applyAlignment="1">
      <alignment horizontal="right" vertical="center" wrapText="1"/>
    </xf>
    <xf numFmtId="3" fontId="17" fillId="5" borderId="2" xfId="14" applyNumberFormat="1" applyFont="1" applyFill="1" applyBorder="1" applyAlignment="1">
      <alignment vertical="center"/>
    </xf>
    <xf numFmtId="4" fontId="17" fillId="5" borderId="26" xfId="14" applyNumberFormat="1" applyFont="1" applyFill="1" applyBorder="1" applyAlignment="1">
      <alignment horizontal="right" vertical="center"/>
    </xf>
    <xf numFmtId="3" fontId="17" fillId="5" borderId="3" xfId="14" applyNumberFormat="1" applyFont="1" applyFill="1" applyBorder="1" applyAlignment="1">
      <alignment vertical="center"/>
    </xf>
    <xf numFmtId="4" fontId="17" fillId="5" borderId="9" xfId="14" applyNumberFormat="1" applyFont="1" applyFill="1" applyBorder="1" applyAlignment="1">
      <alignment horizontal="right" vertical="center"/>
    </xf>
    <xf numFmtId="166" fontId="17" fillId="5" borderId="2" xfId="15" applyNumberFormat="1" applyFont="1" applyFill="1" applyBorder="1" applyAlignment="1">
      <alignment horizontal="right" vertical="center"/>
    </xf>
    <xf numFmtId="166" fontId="17" fillId="5" borderId="41" xfId="14" applyNumberFormat="1" applyFont="1" applyFill="1" applyBorder="1" applyAlignment="1">
      <alignment horizontal="right" vertical="center" wrapText="1"/>
    </xf>
    <xf numFmtId="0" fontId="17" fillId="5" borderId="2" xfId="14" applyFont="1" applyFill="1" applyBorder="1" applyAlignment="1">
      <alignment horizontal="center" vertical="center" wrapText="1"/>
    </xf>
    <xf numFmtId="3" fontId="17" fillId="5" borderId="13" xfId="14" applyNumberFormat="1" applyFont="1" applyFill="1" applyBorder="1" applyAlignment="1">
      <alignment vertical="center"/>
    </xf>
    <xf numFmtId="4" fontId="17" fillId="5" borderId="25" xfId="14" applyNumberFormat="1" applyFont="1" applyFill="1" applyBorder="1" applyAlignment="1">
      <alignment horizontal="right" vertical="center"/>
    </xf>
    <xf numFmtId="4" fontId="17" fillId="5" borderId="22" xfId="14" applyNumberFormat="1" applyFont="1" applyFill="1" applyBorder="1" applyAlignment="1">
      <alignment horizontal="right" vertical="center"/>
    </xf>
    <xf numFmtId="4" fontId="17" fillId="5" borderId="8" xfId="14" applyNumberFormat="1" applyFont="1" applyFill="1" applyBorder="1" applyAlignment="1">
      <alignment horizontal="right" vertical="center"/>
    </xf>
    <xf numFmtId="0" fontId="17" fillId="0" borderId="54" xfId="14" applyFont="1" applyBorder="1" applyAlignment="1">
      <alignment horizontal="center" vertical="center"/>
    </xf>
    <xf numFmtId="3" fontId="17" fillId="0" borderId="32" xfId="14" applyNumberFormat="1" applyFont="1" applyBorder="1" applyAlignment="1">
      <alignment vertical="center"/>
    </xf>
    <xf numFmtId="4" fontId="17" fillId="0" borderId="39" xfId="14" applyNumberFormat="1" applyFont="1" applyBorder="1" applyAlignment="1">
      <alignment vertical="center"/>
    </xf>
    <xf numFmtId="3" fontId="17" fillId="0" borderId="67" xfId="14" applyNumberFormat="1" applyFont="1" applyBorder="1" applyAlignment="1">
      <alignment vertical="center"/>
    </xf>
    <xf numFmtId="4" fontId="17" fillId="0" borderId="35" xfId="14" applyNumberFormat="1" applyFont="1" applyBorder="1" applyAlignment="1">
      <alignment horizontal="right" vertical="center"/>
    </xf>
    <xf numFmtId="4" fontId="17" fillId="0" borderId="76" xfId="14" applyNumberFormat="1" applyFont="1" applyBorder="1" applyAlignment="1">
      <alignment horizontal="right" vertical="center"/>
    </xf>
    <xf numFmtId="0" fontId="17" fillId="0" borderId="47" xfId="14" applyFont="1" applyBorder="1" applyAlignment="1">
      <alignment horizontal="center" vertical="center"/>
    </xf>
    <xf numFmtId="4" fontId="17" fillId="0" borderId="52" xfId="14" applyNumberFormat="1" applyFont="1" applyBorder="1" applyAlignment="1">
      <alignment vertical="center"/>
    </xf>
    <xf numFmtId="4" fontId="17" fillId="0" borderId="39" xfId="14" applyNumberFormat="1" applyFont="1" applyBorder="1" applyAlignment="1">
      <alignment horizontal="right" vertical="center"/>
    </xf>
    <xf numFmtId="4" fontId="17" fillId="0" borderId="77" xfId="14" applyNumberFormat="1" applyFont="1" applyBorder="1" applyAlignment="1">
      <alignment horizontal="right" vertical="center"/>
    </xf>
    <xf numFmtId="4" fontId="17" fillId="0" borderId="9" xfId="14" applyNumberFormat="1" applyFont="1" applyBorder="1" applyAlignment="1">
      <alignment vertical="center"/>
    </xf>
    <xf numFmtId="4" fontId="17" fillId="0" borderId="23" xfId="14" applyNumberFormat="1" applyFont="1" applyBorder="1" applyAlignment="1">
      <alignment vertical="center"/>
    </xf>
    <xf numFmtId="4" fontId="17" fillId="0" borderId="75" xfId="14" applyNumberFormat="1" applyFont="1" applyBorder="1" applyAlignment="1">
      <alignment horizontal="right" vertical="center"/>
    </xf>
    <xf numFmtId="4" fontId="17" fillId="0" borderId="17" xfId="14" applyNumberFormat="1" applyFont="1" applyBorder="1" applyAlignment="1">
      <alignment horizontal="right" vertical="center"/>
    </xf>
    <xf numFmtId="4" fontId="17" fillId="0" borderId="23" xfId="14" applyNumberFormat="1" applyFont="1" applyBorder="1" applyAlignment="1">
      <alignment horizontal="right" vertical="center"/>
    </xf>
    <xf numFmtId="4" fontId="17" fillId="0" borderId="7" xfId="14" applyNumberFormat="1" applyFont="1" applyBorder="1" applyAlignment="1">
      <alignment vertical="center"/>
    </xf>
    <xf numFmtId="4" fontId="17" fillId="0" borderId="25" xfId="14" applyNumberFormat="1" applyFont="1" applyBorder="1" applyAlignment="1">
      <alignment vertical="center"/>
    </xf>
    <xf numFmtId="0" fontId="18" fillId="0" borderId="2" xfId="14" applyFont="1" applyBorder="1" applyAlignment="1">
      <alignment horizontal="center" vertical="center"/>
    </xf>
    <xf numFmtId="4" fontId="17" fillId="0" borderId="21" xfId="15" applyNumberFormat="1" applyFont="1" applyBorder="1" applyAlignment="1">
      <alignment vertical="center"/>
    </xf>
    <xf numFmtId="4" fontId="17" fillId="0" borderId="63" xfId="14" applyNumberFormat="1" applyFont="1" applyBorder="1" applyAlignment="1">
      <alignment horizontal="right" vertical="center"/>
    </xf>
    <xf numFmtId="4" fontId="17" fillId="0" borderId="49" xfId="14" applyNumberFormat="1" applyFont="1" applyBorder="1" applyAlignment="1">
      <alignment horizontal="right" vertical="center"/>
    </xf>
    <xf numFmtId="4" fontId="17" fillId="0" borderId="69" xfId="14" applyNumberFormat="1" applyFont="1" applyBorder="1" applyAlignment="1">
      <alignment horizontal="right" vertical="center"/>
    </xf>
    <xf numFmtId="3" fontId="17" fillId="0" borderId="49" xfId="14" applyNumberFormat="1" applyFont="1" applyBorder="1" applyAlignment="1">
      <alignment vertical="center"/>
    </xf>
    <xf numFmtId="0" fontId="24" fillId="5" borderId="17" xfId="14" applyFont="1" applyFill="1" applyBorder="1" applyAlignment="1">
      <alignment vertical="center" wrapText="1"/>
    </xf>
    <xf numFmtId="4" fontId="40" fillId="7" borderId="2" xfId="0" applyNumberFormat="1" applyFont="1" applyFill="1" applyBorder="1" applyAlignment="1">
      <alignment vertical="center"/>
    </xf>
    <xf numFmtId="4" fontId="40" fillId="7" borderId="41" xfId="0" applyNumberFormat="1" applyFont="1" applyFill="1" applyBorder="1" applyAlignment="1">
      <alignment vertical="center"/>
    </xf>
    <xf numFmtId="4" fontId="40" fillId="7" borderId="8" xfId="0" applyNumberFormat="1" applyFont="1" applyFill="1" applyBorder="1" applyAlignment="1">
      <alignment vertical="center"/>
    </xf>
    <xf numFmtId="4" fontId="41" fillId="3" borderId="12" xfId="0" applyNumberFormat="1" applyFont="1" applyFill="1" applyBorder="1" applyAlignment="1">
      <alignment vertical="center"/>
    </xf>
    <xf numFmtId="4" fontId="42" fillId="7" borderId="2" xfId="0" applyNumberFormat="1" applyFont="1" applyFill="1" applyBorder="1" applyAlignment="1">
      <alignment vertical="center"/>
    </xf>
    <xf numFmtId="4" fontId="42" fillId="7" borderId="41" xfId="0" applyNumberFormat="1" applyFont="1" applyFill="1" applyBorder="1" applyAlignment="1">
      <alignment vertical="center"/>
    </xf>
    <xf numFmtId="4" fontId="42" fillId="7" borderId="8" xfId="0" applyNumberFormat="1" applyFont="1" applyFill="1" applyBorder="1" applyAlignment="1">
      <alignment vertical="center"/>
    </xf>
    <xf numFmtId="4" fontId="43" fillId="3" borderId="12" xfId="0" applyNumberFormat="1" applyFont="1" applyFill="1" applyBorder="1" applyAlignment="1">
      <alignment vertical="center"/>
    </xf>
    <xf numFmtId="0" fontId="14" fillId="0" borderId="2" xfId="14" applyFont="1" applyBorder="1" applyAlignment="1">
      <alignment horizontal="center" vertical="center"/>
    </xf>
    <xf numFmtId="3" fontId="14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3" fontId="14" fillId="0" borderId="0" xfId="0" applyNumberFormat="1" applyFont="1" applyAlignment="1">
      <alignment horizontal="right" vertical="center"/>
    </xf>
    <xf numFmtId="169" fontId="18" fillId="0" borderId="0" xfId="0" applyNumberFormat="1" applyFont="1" applyAlignment="1">
      <alignment horizontal="right" vertical="center"/>
    </xf>
    <xf numFmtId="3" fontId="12" fillId="0" borderId="0" xfId="0" applyNumberFormat="1" applyFont="1" applyAlignment="1">
      <alignment horizontal="left" vertical="center"/>
    </xf>
    <xf numFmtId="3" fontId="12" fillId="0" borderId="0" xfId="0" applyNumberFormat="1" applyFont="1" applyAlignment="1">
      <alignment horizontal="right" vertical="center"/>
    </xf>
    <xf numFmtId="3" fontId="17" fillId="0" borderId="0" xfId="0" applyNumberFormat="1" applyFont="1" applyAlignment="1">
      <alignment horizontal="right" vertical="center"/>
    </xf>
    <xf numFmtId="3" fontId="17" fillId="0" borderId="0" xfId="0" applyNumberFormat="1" applyFont="1" applyAlignment="1">
      <alignment vertical="center"/>
    </xf>
    <xf numFmtId="3" fontId="21" fillId="0" borderId="0" xfId="1" applyNumberFormat="1" applyFont="1" applyAlignment="1">
      <alignment vertical="center"/>
    </xf>
    <xf numFmtId="3" fontId="15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3" fontId="17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vertical="center"/>
    </xf>
    <xf numFmtId="3" fontId="18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/>
    </xf>
    <xf numFmtId="4" fontId="12" fillId="0" borderId="0" xfId="1" applyNumberFormat="1" applyFont="1" applyAlignment="1">
      <alignment vertical="center"/>
    </xf>
    <xf numFmtId="0" fontId="17" fillId="0" borderId="17" xfId="14" applyFont="1" applyBorder="1" applyAlignment="1">
      <alignment vertical="center" wrapText="1"/>
    </xf>
    <xf numFmtId="0" fontId="17" fillId="0" borderId="75" xfId="14" applyFont="1" applyBorder="1" applyAlignment="1">
      <alignment vertical="center" wrapText="1"/>
    </xf>
    <xf numFmtId="0" fontId="17" fillId="0" borderId="70" xfId="14" applyFont="1" applyBorder="1" applyAlignment="1">
      <alignment vertical="center"/>
    </xf>
    <xf numFmtId="0" fontId="17" fillId="0" borderId="0" xfId="14" applyFont="1" applyAlignment="1">
      <alignment horizontal="left" vertical="center"/>
    </xf>
    <xf numFmtId="0" fontId="14" fillId="0" borderId="13" xfId="14" applyFont="1" applyBorder="1" applyAlignment="1">
      <alignment horizontal="center" vertical="center"/>
    </xf>
    <xf numFmtId="0" fontId="14" fillId="0" borderId="3" xfId="14" applyFont="1" applyBorder="1" applyAlignment="1">
      <alignment horizontal="center" vertical="center"/>
    </xf>
    <xf numFmtId="0" fontId="14" fillId="0" borderId="58" xfId="14" applyFont="1" applyBorder="1" applyAlignment="1">
      <alignment horizontal="center" vertical="center"/>
    </xf>
    <xf numFmtId="0" fontId="24" fillId="0" borderId="47" xfId="14" applyFont="1" applyBorder="1" applyAlignment="1">
      <alignment horizontal="right" vertical="center" wrapText="1"/>
    </xf>
    <xf numFmtId="165" fontId="17" fillId="0" borderId="1" xfId="15" applyNumberFormat="1" applyFont="1" applyBorder="1" applyAlignment="1">
      <alignment horizontal="right" vertical="center"/>
    </xf>
    <xf numFmtId="165" fontId="17" fillId="0" borderId="45" xfId="14" applyNumberFormat="1" applyFont="1" applyBorder="1" applyAlignment="1">
      <alignment horizontal="right" vertical="center" wrapText="1"/>
    </xf>
    <xf numFmtId="165" fontId="14" fillId="0" borderId="2" xfId="15" applyNumberFormat="1" applyFont="1" applyBorder="1" applyAlignment="1">
      <alignment horizontal="right" vertical="center"/>
    </xf>
    <xf numFmtId="165" fontId="14" fillId="0" borderId="41" xfId="14" applyNumberFormat="1" applyFont="1" applyBorder="1" applyAlignment="1">
      <alignment horizontal="right" vertical="center" wrapText="1"/>
    </xf>
    <xf numFmtId="165" fontId="24" fillId="0" borderId="2" xfId="15" applyNumberFormat="1" applyFont="1" applyBorder="1" applyAlignment="1">
      <alignment horizontal="right" vertical="center"/>
    </xf>
    <xf numFmtId="165" fontId="24" fillId="0" borderId="41" xfId="14" applyNumberFormat="1" applyFont="1" applyBorder="1" applyAlignment="1">
      <alignment horizontal="right" vertical="center" wrapText="1"/>
    </xf>
    <xf numFmtId="165" fontId="17" fillId="0" borderId="13" xfId="15" applyNumberFormat="1" applyFont="1" applyBorder="1" applyAlignment="1">
      <alignment horizontal="right" vertical="center"/>
    </xf>
    <xf numFmtId="165" fontId="17" fillId="0" borderId="42" xfId="14" applyNumberFormat="1" applyFont="1" applyBorder="1" applyAlignment="1">
      <alignment horizontal="right" vertical="center" wrapText="1"/>
    </xf>
    <xf numFmtId="165" fontId="17" fillId="0" borderId="2" xfId="15" applyNumberFormat="1" applyFont="1" applyBorder="1" applyAlignment="1">
      <alignment horizontal="right" vertical="center"/>
    </xf>
    <xf numFmtId="165" fontId="17" fillId="0" borderId="41" xfId="14" applyNumberFormat="1" applyFont="1" applyBorder="1" applyAlignment="1">
      <alignment horizontal="right" vertical="center" wrapText="1"/>
    </xf>
    <xf numFmtId="165" fontId="17" fillId="6" borderId="48" xfId="15" applyNumberFormat="1" applyFont="1" applyFill="1" applyBorder="1" applyAlignment="1">
      <alignment horizontal="right" vertical="center"/>
    </xf>
    <xf numFmtId="165" fontId="17" fillId="6" borderId="16" xfId="14" applyNumberFormat="1" applyFont="1" applyFill="1" applyBorder="1" applyAlignment="1">
      <alignment horizontal="right" vertical="center" wrapText="1"/>
    </xf>
    <xf numFmtId="3" fontId="17" fillId="6" borderId="5" xfId="14" applyNumberFormat="1" applyFont="1" applyFill="1" applyBorder="1" applyAlignment="1">
      <alignment horizontal="right" vertical="center"/>
    </xf>
    <xf numFmtId="4" fontId="17" fillId="6" borderId="48" xfId="14" applyNumberFormat="1" applyFont="1" applyFill="1" applyBorder="1" applyAlignment="1">
      <alignment horizontal="right" vertical="center"/>
    </xf>
    <xf numFmtId="166" fontId="17" fillId="5" borderId="13" xfId="15" applyNumberFormat="1" applyFont="1" applyFill="1" applyBorder="1" applyAlignment="1">
      <alignment horizontal="right" vertical="center"/>
    </xf>
    <xf numFmtId="166" fontId="17" fillId="5" borderId="42" xfId="14" applyNumberFormat="1" applyFont="1" applyFill="1" applyBorder="1" applyAlignment="1">
      <alignment horizontal="right" vertical="center" wrapText="1"/>
    </xf>
    <xf numFmtId="4" fontId="24" fillId="5" borderId="22" xfId="14" applyNumberFormat="1" applyFont="1" applyFill="1" applyBorder="1" applyAlignment="1">
      <alignment horizontal="right" vertical="center"/>
    </xf>
    <xf numFmtId="4" fontId="14" fillId="0" borderId="70" xfId="0" applyNumberFormat="1" applyFont="1" applyBorder="1" applyAlignment="1">
      <alignment vertical="center"/>
    </xf>
    <xf numFmtId="0" fontId="24" fillId="0" borderId="9" xfId="14" applyFont="1" applyBorder="1" applyAlignment="1">
      <alignment horizontal="center" vertical="top"/>
    </xf>
    <xf numFmtId="0" fontId="17" fillId="7" borderId="56" xfId="0" applyFont="1" applyFill="1" applyBorder="1" applyAlignment="1">
      <alignment vertical="center" wrapText="1"/>
    </xf>
    <xf numFmtId="4" fontId="17" fillId="7" borderId="5" xfId="0" applyNumberFormat="1" applyFont="1" applyFill="1" applyBorder="1" applyAlignment="1">
      <alignment vertical="center"/>
    </xf>
    <xf numFmtId="4" fontId="17" fillId="7" borderId="16" xfId="0" applyNumberFormat="1" applyFont="1" applyFill="1" applyBorder="1" applyAlignment="1">
      <alignment vertical="center"/>
    </xf>
    <xf numFmtId="4" fontId="17" fillId="7" borderId="6" xfId="0" applyNumberFormat="1" applyFont="1" applyFill="1" applyBorder="1" applyAlignment="1">
      <alignment vertical="center"/>
    </xf>
    <xf numFmtId="165" fontId="16" fillId="7" borderId="10" xfId="0" applyNumberFormat="1" applyFont="1" applyFill="1" applyBorder="1" applyAlignment="1">
      <alignment horizontal="right" vertical="center"/>
    </xf>
    <xf numFmtId="0" fontId="17" fillId="8" borderId="56" xfId="0" applyFont="1" applyFill="1" applyBorder="1" applyAlignment="1">
      <alignment vertical="center" wrapText="1"/>
    </xf>
    <xf numFmtId="4" fontId="17" fillId="8" borderId="5" xfId="0" applyNumberFormat="1" applyFont="1" applyFill="1" applyBorder="1" applyAlignment="1">
      <alignment vertical="center"/>
    </xf>
    <xf numFmtId="4" fontId="17" fillId="8" borderId="16" xfId="0" applyNumberFormat="1" applyFont="1" applyFill="1" applyBorder="1" applyAlignment="1">
      <alignment vertical="center"/>
    </xf>
    <xf numFmtId="4" fontId="17" fillId="8" borderId="6" xfId="0" applyNumberFormat="1" applyFont="1" applyFill="1" applyBorder="1" applyAlignment="1">
      <alignment vertical="center"/>
    </xf>
    <xf numFmtId="165" fontId="16" fillId="8" borderId="10" xfId="0" applyNumberFormat="1" applyFont="1" applyFill="1" applyBorder="1" applyAlignment="1">
      <alignment horizontal="right" vertical="center"/>
    </xf>
    <xf numFmtId="3" fontId="17" fillId="0" borderId="49" xfId="14" applyNumberFormat="1" applyFont="1" applyBorder="1" applyAlignment="1">
      <alignment horizontal="right" vertical="center"/>
    </xf>
    <xf numFmtId="4" fontId="14" fillId="0" borderId="0" xfId="1" applyNumberFormat="1" applyFont="1" applyAlignment="1">
      <alignment vertical="center"/>
    </xf>
    <xf numFmtId="0" fontId="17" fillId="0" borderId="13" xfId="14" applyFont="1" applyBorder="1" applyAlignment="1">
      <alignment horizontal="center" vertical="center"/>
    </xf>
    <xf numFmtId="0" fontId="24" fillId="0" borderId="22" xfId="14" applyFont="1" applyBorder="1" applyAlignment="1">
      <alignment vertical="center" wrapText="1"/>
    </xf>
    <xf numFmtId="3" fontId="18" fillId="0" borderId="58" xfId="0" applyNumberFormat="1" applyFont="1" applyBorder="1" applyAlignment="1">
      <alignment vertical="center"/>
    </xf>
    <xf numFmtId="3" fontId="18" fillId="0" borderId="47" xfId="0" applyNumberFormat="1" applyFont="1" applyBorder="1" applyAlignment="1">
      <alignment vertical="center"/>
    </xf>
    <xf numFmtId="0" fontId="17" fillId="0" borderId="22" xfId="14" applyFont="1" applyBorder="1" applyAlignment="1">
      <alignment vertical="center" wrapText="1"/>
    </xf>
    <xf numFmtId="0" fontId="17" fillId="6" borderId="65" xfId="14" applyFont="1" applyFill="1" applyBorder="1" applyAlignment="1">
      <alignment vertical="center"/>
    </xf>
    <xf numFmtId="0" fontId="24" fillId="0" borderId="22" xfId="14" applyFont="1" applyBorder="1" applyAlignment="1">
      <alignment vertical="center"/>
    </xf>
    <xf numFmtId="0" fontId="24" fillId="0" borderId="2" xfId="14" applyFont="1" applyBorder="1" applyAlignment="1">
      <alignment horizontal="right" vertical="center" wrapText="1"/>
    </xf>
    <xf numFmtId="0" fontId="24" fillId="0" borderId="17" xfId="14" applyFont="1" applyBorder="1" applyAlignment="1">
      <alignment vertical="center" wrapText="1"/>
    </xf>
    <xf numFmtId="0" fontId="24" fillId="5" borderId="22" xfId="14" applyFont="1" applyFill="1" applyBorder="1" applyAlignment="1">
      <alignment vertical="center" wrapText="1"/>
    </xf>
    <xf numFmtId="4" fontId="40" fillId="8" borderId="2" xfId="0" applyNumberFormat="1" applyFont="1" applyFill="1" applyBorder="1" applyAlignment="1">
      <alignment vertical="center"/>
    </xf>
    <xf numFmtId="4" fontId="40" fillId="8" borderId="41" xfId="0" applyNumberFormat="1" applyFont="1" applyFill="1" applyBorder="1" applyAlignment="1">
      <alignment vertical="center"/>
    </xf>
    <xf numFmtId="4" fontId="40" fillId="8" borderId="8" xfId="0" applyNumberFormat="1" applyFont="1" applyFill="1" applyBorder="1" applyAlignment="1">
      <alignment vertical="center"/>
    </xf>
    <xf numFmtId="4" fontId="42" fillId="8" borderId="2" xfId="0" applyNumberFormat="1" applyFont="1" applyFill="1" applyBorder="1" applyAlignment="1">
      <alignment vertical="center"/>
    </xf>
    <xf numFmtId="4" fontId="42" fillId="8" borderId="41" xfId="0" applyNumberFormat="1" applyFont="1" applyFill="1" applyBorder="1" applyAlignment="1">
      <alignment vertical="center"/>
    </xf>
    <xf numFmtId="4" fontId="42" fillId="8" borderId="8" xfId="0" applyNumberFormat="1" applyFont="1" applyFill="1" applyBorder="1" applyAlignment="1">
      <alignment vertical="center"/>
    </xf>
    <xf numFmtId="4" fontId="18" fillId="3" borderId="62" xfId="0" applyNumberFormat="1" applyFont="1" applyFill="1" applyBorder="1" applyAlignment="1">
      <alignment vertical="center"/>
    </xf>
    <xf numFmtId="0" fontId="24" fillId="5" borderId="2" xfId="14" applyFont="1" applyFill="1" applyBorder="1" applyAlignment="1">
      <alignment horizontal="right" vertical="center"/>
    </xf>
    <xf numFmtId="49" fontId="14" fillId="0" borderId="3" xfId="0" applyNumberFormat="1" applyFont="1" applyBorder="1" applyAlignment="1">
      <alignment horizontal="center" vertical="center"/>
    </xf>
    <xf numFmtId="4" fontId="17" fillId="0" borderId="38" xfId="14" applyNumberFormat="1" applyFont="1" applyBorder="1" applyAlignment="1">
      <alignment horizontal="right" vertical="center"/>
    </xf>
    <xf numFmtId="4" fontId="13" fillId="0" borderId="0" xfId="14" applyNumberFormat="1" applyFont="1" applyAlignment="1">
      <alignment vertical="center"/>
    </xf>
    <xf numFmtId="4" fontId="18" fillId="0" borderId="0" xfId="14" applyNumberFormat="1" applyFont="1" applyAlignment="1">
      <alignment vertical="center"/>
    </xf>
    <xf numFmtId="4" fontId="18" fillId="0" borderId="0" xfId="14" applyNumberFormat="1" applyFont="1" applyAlignment="1">
      <alignment horizontal="right" vertical="center"/>
    </xf>
    <xf numFmtId="4" fontId="18" fillId="0" borderId="0" xfId="20" applyNumberFormat="1" applyFont="1" applyAlignment="1">
      <alignment horizontal="right" vertical="center"/>
    </xf>
    <xf numFmtId="49" fontId="14" fillId="0" borderId="8" xfId="14" applyNumberFormat="1" applyFont="1" applyBorder="1" applyAlignment="1">
      <alignment horizontal="center" vertical="center"/>
    </xf>
    <xf numFmtId="166" fontId="16" fillId="5" borderId="0" xfId="14" applyNumberFormat="1" applyFont="1" applyFill="1" applyAlignment="1">
      <alignment horizontal="right" vertical="center"/>
    </xf>
    <xf numFmtId="3" fontId="24" fillId="0" borderId="0" xfId="14" applyNumberFormat="1" applyFont="1" applyAlignment="1">
      <alignment vertical="center"/>
    </xf>
    <xf numFmtId="0" fontId="17" fillId="0" borderId="8" xfId="14" applyFont="1" applyBorder="1" applyAlignment="1">
      <alignment vertical="center"/>
    </xf>
    <xf numFmtId="0" fontId="12" fillId="0" borderId="0" xfId="14" applyFont="1" applyAlignment="1">
      <alignment vertical="center" wrapText="1"/>
    </xf>
    <xf numFmtId="0" fontId="24" fillId="0" borderId="50" xfId="14" applyFont="1" applyBorder="1" applyAlignment="1">
      <alignment vertical="center"/>
    </xf>
    <xf numFmtId="0" fontId="24" fillId="0" borderId="70" xfId="14" applyFont="1" applyBorder="1" applyAlignment="1">
      <alignment vertical="center"/>
    </xf>
    <xf numFmtId="0" fontId="28" fillId="0" borderId="0" xfId="14" applyFont="1" applyAlignment="1">
      <alignment vertical="center"/>
    </xf>
    <xf numFmtId="166" fontId="18" fillId="0" borderId="0" xfId="15" applyNumberFormat="1" applyFont="1" applyAlignment="1">
      <alignment horizontal="right" vertical="center"/>
    </xf>
    <xf numFmtId="3" fontId="12" fillId="0" borderId="0" xfId="0" applyNumberFormat="1" applyFont="1" applyAlignment="1">
      <alignment horizontal="center" vertical="center"/>
    </xf>
    <xf numFmtId="0" fontId="21" fillId="0" borderId="0" xfId="1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49" fontId="14" fillId="0" borderId="38" xfId="0" applyNumberFormat="1" applyFont="1" applyBorder="1" applyAlignment="1">
      <alignment vertical="center"/>
    </xf>
    <xf numFmtId="14" fontId="12" fillId="0" borderId="0" xfId="0" applyNumberFormat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3" fontId="17" fillId="6" borderId="36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10" xfId="0" applyFont="1" applyBorder="1" applyAlignment="1">
      <alignment vertical="center"/>
    </xf>
    <xf numFmtId="4" fontId="17" fillId="0" borderId="48" xfId="0" applyNumberFormat="1" applyFont="1" applyBorder="1" applyAlignment="1">
      <alignment vertical="center"/>
    </xf>
    <xf numFmtId="4" fontId="13" fillId="0" borderId="0" xfId="1" applyNumberFormat="1" applyFont="1" applyAlignment="1">
      <alignment vertical="center"/>
    </xf>
    <xf numFmtId="165" fontId="18" fillId="0" borderId="0" xfId="1" applyNumberFormat="1" applyFont="1" applyAlignment="1">
      <alignment horizontal="right" vertical="center"/>
    </xf>
    <xf numFmtId="165" fontId="12" fillId="0" borderId="0" xfId="1" applyNumberFormat="1" applyFont="1" applyAlignment="1">
      <alignment vertical="center"/>
    </xf>
    <xf numFmtId="0" fontId="15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22" fillId="0" borderId="0" xfId="1" applyFont="1" applyAlignment="1">
      <alignment vertical="center"/>
    </xf>
    <xf numFmtId="165" fontId="14" fillId="0" borderId="0" xfId="1" applyNumberFormat="1" applyFont="1" applyAlignment="1">
      <alignment horizontal="right" vertical="center"/>
    </xf>
    <xf numFmtId="0" fontId="16" fillId="0" borderId="0" xfId="1" applyFont="1" applyAlignment="1">
      <alignment vertical="center"/>
    </xf>
    <xf numFmtId="14" fontId="12" fillId="0" borderId="0" xfId="1" applyNumberFormat="1" applyFont="1" applyAlignment="1">
      <alignment vertical="center"/>
    </xf>
    <xf numFmtId="49" fontId="12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0" fontId="36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165" fontId="12" fillId="0" borderId="0" xfId="0" applyNumberFormat="1" applyFont="1" applyAlignment="1">
      <alignment vertical="center"/>
    </xf>
    <xf numFmtId="14" fontId="12" fillId="0" borderId="0" xfId="0" applyNumberFormat="1" applyFont="1" applyAlignment="1">
      <alignment vertical="center" wrapText="1"/>
    </xf>
    <xf numFmtId="0" fontId="23" fillId="0" borderId="0" xfId="1" applyFont="1" applyAlignment="1">
      <alignment vertical="center"/>
    </xf>
    <xf numFmtId="49" fontId="12" fillId="0" borderId="0" xfId="2" applyNumberFormat="1" applyFont="1" applyAlignment="1">
      <alignment horizontal="center" vertical="center"/>
    </xf>
    <xf numFmtId="0" fontId="12" fillId="0" borderId="0" xfId="2" applyFont="1" applyAlignment="1">
      <alignment vertical="center"/>
    </xf>
    <xf numFmtId="4" fontId="12" fillId="0" borderId="0" xfId="2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166" fontId="14" fillId="0" borderId="0" xfId="0" applyNumberFormat="1" applyFont="1" applyAlignment="1">
      <alignment horizontal="right" vertical="center"/>
    </xf>
    <xf numFmtId="14" fontId="21" fillId="0" borderId="0" xfId="1" applyNumberFormat="1" applyFont="1" applyAlignment="1">
      <alignment vertical="center"/>
    </xf>
    <xf numFmtId="14" fontId="12" fillId="0" borderId="0" xfId="0" applyNumberFormat="1" applyFont="1" applyAlignment="1">
      <alignment horizontal="left" vertical="center"/>
    </xf>
    <xf numFmtId="3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 vertical="center"/>
    </xf>
    <xf numFmtId="14" fontId="15" fillId="0" borderId="0" xfId="0" applyNumberFormat="1" applyFont="1" applyAlignment="1">
      <alignment vertical="center"/>
    </xf>
    <xf numFmtId="4" fontId="17" fillId="0" borderId="0" xfId="0" applyNumberFormat="1" applyFont="1" applyAlignment="1">
      <alignment horizontal="center" vertical="center"/>
    </xf>
    <xf numFmtId="165" fontId="17" fillId="0" borderId="0" xfId="0" applyNumberFormat="1" applyFont="1" applyAlignment="1">
      <alignment vertical="center"/>
    </xf>
    <xf numFmtId="4" fontId="12" fillId="0" borderId="0" xfId="0" applyNumberFormat="1" applyFont="1" applyAlignment="1">
      <alignment horizontal="right" vertical="center"/>
    </xf>
    <xf numFmtId="14" fontId="18" fillId="0" borderId="0" xfId="0" applyNumberFormat="1" applyFont="1" applyAlignment="1">
      <alignment vertical="center"/>
    </xf>
    <xf numFmtId="14" fontId="17" fillId="0" borderId="0" xfId="0" applyNumberFormat="1" applyFont="1" applyAlignment="1">
      <alignment vertical="center"/>
    </xf>
    <xf numFmtId="14" fontId="13" fillId="0" borderId="0" xfId="0" applyNumberFormat="1" applyFont="1" applyAlignment="1">
      <alignment vertical="center"/>
    </xf>
    <xf numFmtId="4" fontId="14" fillId="7" borderId="17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169" fontId="8" fillId="0" borderId="0" xfId="0" applyNumberFormat="1" applyFont="1" applyAlignment="1">
      <alignment vertical="center"/>
    </xf>
    <xf numFmtId="49" fontId="14" fillId="0" borderId="38" xfId="0" applyNumberFormat="1" applyFont="1" applyBorder="1" applyAlignment="1">
      <alignment vertical="center" wrapText="1"/>
    </xf>
    <xf numFmtId="165" fontId="17" fillId="6" borderId="16" xfId="14" applyNumberFormat="1" applyFont="1" applyFill="1" applyBorder="1" applyAlignment="1">
      <alignment vertical="center"/>
    </xf>
    <xf numFmtId="0" fontId="12" fillId="0" borderId="60" xfId="0" applyFont="1" applyBorder="1" applyAlignment="1">
      <alignment vertical="center" wrapText="1"/>
    </xf>
    <xf numFmtId="4" fontId="18" fillId="0" borderId="27" xfId="0" applyNumberFormat="1" applyFont="1" applyBorder="1" applyAlignment="1">
      <alignment vertical="center"/>
    </xf>
    <xf numFmtId="4" fontId="17" fillId="0" borderId="48" xfId="1" applyNumberFormat="1" applyFont="1" applyBorder="1" applyAlignment="1">
      <alignment vertical="center"/>
    </xf>
    <xf numFmtId="4" fontId="16" fillId="0" borderId="2" xfId="1" applyNumberFormat="1" applyFont="1" applyBorder="1" applyAlignment="1">
      <alignment vertical="center"/>
    </xf>
    <xf numFmtId="4" fontId="17" fillId="0" borderId="66" xfId="1" applyNumberFormat="1" applyFont="1" applyBorder="1" applyAlignment="1">
      <alignment vertical="center"/>
    </xf>
    <xf numFmtId="4" fontId="17" fillId="0" borderId="73" xfId="1" applyNumberFormat="1" applyFont="1" applyBorder="1" applyAlignment="1">
      <alignment vertical="center"/>
    </xf>
    <xf numFmtId="4" fontId="17" fillId="3" borderId="62" xfId="1" applyNumberFormat="1" applyFont="1" applyFill="1" applyBorder="1" applyAlignment="1">
      <alignment vertical="center"/>
    </xf>
    <xf numFmtId="165" fontId="17" fillId="0" borderId="23" xfId="1" applyNumberFormat="1" applyFont="1" applyBorder="1" applyAlignment="1">
      <alignment vertical="center"/>
    </xf>
    <xf numFmtId="4" fontId="14" fillId="0" borderId="49" xfId="0" applyNumberFormat="1" applyFont="1" applyBorder="1" applyAlignment="1">
      <alignment vertical="center"/>
    </xf>
    <xf numFmtId="4" fontId="24" fillId="0" borderId="49" xfId="0" applyNumberFormat="1" applyFont="1" applyBorder="1" applyAlignment="1">
      <alignment vertical="center"/>
    </xf>
    <xf numFmtId="4" fontId="24" fillId="5" borderId="49" xfId="0" applyNumberFormat="1" applyFont="1" applyFill="1" applyBorder="1" applyAlignment="1">
      <alignment vertical="center"/>
    </xf>
    <xf numFmtId="4" fontId="14" fillId="0" borderId="51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vertical="center"/>
    </xf>
    <xf numFmtId="3" fontId="14" fillId="0" borderId="19" xfId="0" applyNumberFormat="1" applyFont="1" applyBorder="1" applyAlignment="1">
      <alignment vertical="center"/>
    </xf>
    <xf numFmtId="3" fontId="17" fillId="0" borderId="19" xfId="14" applyNumberFormat="1" applyFont="1" applyBorder="1" applyAlignment="1">
      <alignment horizontal="right" vertical="center"/>
    </xf>
    <xf numFmtId="4" fontId="24" fillId="0" borderId="49" xfId="14" applyNumberFormat="1" applyFont="1" applyBorder="1" applyAlignment="1">
      <alignment vertical="center"/>
    </xf>
    <xf numFmtId="4" fontId="17" fillId="0" borderId="51" xfId="14" applyNumberFormat="1" applyFont="1" applyBorder="1" applyAlignment="1">
      <alignment vertical="center"/>
    </xf>
    <xf numFmtId="166" fontId="14" fillId="0" borderId="2" xfId="15" applyNumberFormat="1" applyFont="1" applyBorder="1" applyAlignment="1">
      <alignment horizontal="right" vertical="center"/>
    </xf>
    <xf numFmtId="166" fontId="17" fillId="0" borderId="31" xfId="15" applyNumberFormat="1" applyFont="1" applyBorder="1" applyAlignment="1">
      <alignment horizontal="right" vertical="center"/>
    </xf>
    <xf numFmtId="0" fontId="14" fillId="7" borderId="55" xfId="0" applyFont="1" applyFill="1" applyBorder="1" applyAlignment="1">
      <alignment vertical="center" wrapText="1"/>
    </xf>
    <xf numFmtId="4" fontId="24" fillId="0" borderId="50" xfId="0" applyNumberFormat="1" applyFont="1" applyBorder="1" applyAlignment="1">
      <alignment horizontal="right" vertical="center"/>
    </xf>
    <xf numFmtId="4" fontId="24" fillId="0" borderId="66" xfId="0" applyNumberFormat="1" applyFont="1" applyBorder="1" applyAlignment="1">
      <alignment horizontal="right" vertical="center"/>
    </xf>
    <xf numFmtId="4" fontId="14" fillId="8" borderId="22" xfId="0" applyNumberFormat="1" applyFont="1" applyFill="1" applyBorder="1" applyAlignment="1">
      <alignment vertical="center"/>
    </xf>
    <xf numFmtId="4" fontId="14" fillId="8" borderId="50" xfId="0" applyNumberFormat="1" applyFont="1" applyFill="1" applyBorder="1" applyAlignment="1">
      <alignment vertical="center"/>
    </xf>
    <xf numFmtId="4" fontId="40" fillId="8" borderId="22" xfId="0" applyNumberFormat="1" applyFont="1" applyFill="1" applyBorder="1" applyAlignment="1">
      <alignment vertical="center"/>
    </xf>
    <xf numFmtId="4" fontId="17" fillId="6" borderId="5" xfId="0" applyNumberFormat="1" applyFont="1" applyFill="1" applyBorder="1" applyAlignment="1">
      <alignment vertical="center" wrapText="1"/>
    </xf>
    <xf numFmtId="3" fontId="14" fillId="0" borderId="1" xfId="0" applyNumberFormat="1" applyFont="1" applyBorder="1" applyAlignment="1">
      <alignment wrapText="1"/>
    </xf>
    <xf numFmtId="3" fontId="14" fillId="0" borderId="19" xfId="0" applyNumberFormat="1" applyFont="1" applyBorder="1" applyAlignment="1">
      <alignment wrapText="1"/>
    </xf>
    <xf numFmtId="4" fontId="14" fillId="0" borderId="7" xfId="0" applyNumberFormat="1" applyFont="1" applyBorder="1" applyAlignment="1">
      <alignment wrapText="1"/>
    </xf>
    <xf numFmtId="4" fontId="14" fillId="0" borderId="20" xfId="0" applyNumberFormat="1" applyFont="1" applyBorder="1" applyAlignment="1">
      <alignment wrapText="1"/>
    </xf>
    <xf numFmtId="0" fontId="44" fillId="7" borderId="47" xfId="0" applyFont="1" applyFill="1" applyBorder="1" applyAlignment="1">
      <alignment vertical="center" wrapText="1"/>
    </xf>
    <xf numFmtId="0" fontId="44" fillId="8" borderId="47" xfId="0" applyFont="1" applyFill="1" applyBorder="1" applyAlignment="1">
      <alignment vertical="center" wrapText="1"/>
    </xf>
    <xf numFmtId="0" fontId="45" fillId="7" borderId="47" xfId="0" applyFont="1" applyFill="1" applyBorder="1" applyAlignment="1">
      <alignment vertical="center" wrapText="1"/>
    </xf>
    <xf numFmtId="0" fontId="45" fillId="8" borderId="47" xfId="0" applyFont="1" applyFill="1" applyBorder="1" applyAlignment="1">
      <alignment vertical="center" wrapText="1"/>
    </xf>
    <xf numFmtId="0" fontId="14" fillId="5" borderId="2" xfId="14" applyFont="1" applyFill="1" applyBorder="1" applyAlignment="1">
      <alignment horizontal="center" vertical="center"/>
    </xf>
    <xf numFmtId="4" fontId="14" fillId="0" borderId="9" xfId="14" applyNumberFormat="1" applyFont="1" applyBorder="1" applyAlignment="1">
      <alignment horizontal="right" vertical="center"/>
    </xf>
    <xf numFmtId="0" fontId="24" fillId="0" borderId="77" xfId="14" applyFont="1" applyBorder="1" applyAlignment="1">
      <alignment vertical="center" wrapText="1"/>
    </xf>
    <xf numFmtId="0" fontId="18" fillId="7" borderId="55" xfId="0" applyFont="1" applyFill="1" applyBorder="1" applyAlignment="1">
      <alignment vertical="center" wrapText="1"/>
    </xf>
    <xf numFmtId="4" fontId="18" fillId="3" borderId="10" xfId="0" applyNumberFormat="1" applyFont="1" applyFill="1" applyBorder="1" applyAlignment="1">
      <alignment vertical="center"/>
    </xf>
    <xf numFmtId="0" fontId="18" fillId="8" borderId="56" xfId="0" applyFont="1" applyFill="1" applyBorder="1" applyAlignment="1">
      <alignment vertical="center" wrapText="1"/>
    </xf>
    <xf numFmtId="4" fontId="18" fillId="8" borderId="6" xfId="0" applyNumberFormat="1" applyFont="1" applyFill="1" applyBorder="1" applyAlignment="1">
      <alignment vertical="center"/>
    </xf>
    <xf numFmtId="0" fontId="17" fillId="0" borderId="70" xfId="14" applyFont="1" applyBorder="1" applyAlignment="1">
      <alignment vertical="center" wrapText="1"/>
    </xf>
    <xf numFmtId="166" fontId="24" fillId="0" borderId="13" xfId="15" applyNumberFormat="1" applyFont="1" applyBorder="1" applyAlignment="1">
      <alignment horizontal="right" vertical="center"/>
    </xf>
    <xf numFmtId="4" fontId="24" fillId="0" borderId="20" xfId="14" applyNumberFormat="1" applyFont="1" applyBorder="1" applyAlignment="1">
      <alignment horizontal="right" vertical="center"/>
    </xf>
    <xf numFmtId="4" fontId="24" fillId="0" borderId="79" xfId="14" applyNumberFormat="1" applyFont="1" applyBorder="1" applyAlignment="1">
      <alignment horizontal="right" vertical="center"/>
    </xf>
    <xf numFmtId="0" fontId="14" fillId="0" borderId="17" xfId="14" applyFont="1" applyBorder="1" applyAlignment="1">
      <alignment vertical="top"/>
    </xf>
    <xf numFmtId="0" fontId="17" fillId="5" borderId="3" xfId="14" applyFont="1" applyFill="1" applyBorder="1" applyAlignment="1">
      <alignment horizontal="center" vertical="center"/>
    </xf>
    <xf numFmtId="0" fontId="17" fillId="5" borderId="32" xfId="14" applyFont="1" applyFill="1" applyBorder="1" applyAlignment="1">
      <alignment horizontal="center" vertical="center"/>
    </xf>
    <xf numFmtId="4" fontId="13" fillId="0" borderId="0" xfId="14" applyNumberFormat="1" applyFont="1"/>
    <xf numFmtId="4" fontId="16" fillId="0" borderId="0" xfId="14" applyNumberFormat="1" applyFont="1" applyAlignment="1">
      <alignment horizontal="right" vertical="center"/>
    </xf>
    <xf numFmtId="0" fontId="46" fillId="0" borderId="0" xfId="0" applyFont="1"/>
    <xf numFmtId="2" fontId="12" fillId="0" borderId="0" xfId="14" applyNumberFormat="1" applyFont="1" applyAlignment="1">
      <alignment horizontal="left" vertical="center" wrapText="1"/>
    </xf>
    <xf numFmtId="165" fontId="14" fillId="0" borderId="18" xfId="0" applyNumberFormat="1" applyFont="1" applyBorder="1" applyAlignment="1">
      <alignment horizontal="right"/>
    </xf>
    <xf numFmtId="0" fontId="15" fillId="0" borderId="0" xfId="0" applyFont="1" applyAlignment="1">
      <alignment wrapText="1"/>
    </xf>
    <xf numFmtId="4" fontId="14" fillId="0" borderId="41" xfId="14" applyNumberFormat="1" applyFont="1" applyBorder="1" applyAlignment="1">
      <alignment horizontal="right" vertical="center"/>
    </xf>
    <xf numFmtId="4" fontId="17" fillId="0" borderId="42" xfId="14" applyNumberFormat="1" applyFont="1" applyBorder="1" applyAlignment="1">
      <alignment horizontal="right" vertical="center"/>
    </xf>
    <xf numFmtId="0" fontId="24" fillId="0" borderId="25" xfId="14" applyFont="1" applyBorder="1" applyAlignment="1">
      <alignment vertical="center" wrapText="1"/>
    </xf>
    <xf numFmtId="3" fontId="14" fillId="0" borderId="50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3" fontId="17" fillId="0" borderId="5" xfId="0" applyNumberFormat="1" applyFont="1" applyBorder="1" applyAlignment="1">
      <alignment horizontal="right" vertical="center"/>
    </xf>
    <xf numFmtId="4" fontId="17" fillId="0" borderId="16" xfId="0" applyNumberFormat="1" applyFont="1" applyBorder="1" applyAlignment="1">
      <alignment horizontal="right" vertical="center"/>
    </xf>
    <xf numFmtId="3" fontId="17" fillId="0" borderId="48" xfId="0" applyNumberFormat="1" applyFont="1" applyBorder="1" applyAlignment="1">
      <alignment horizontal="right" vertical="center"/>
    </xf>
    <xf numFmtId="4" fontId="17" fillId="0" borderId="6" xfId="0" applyNumberFormat="1" applyFont="1" applyBorder="1" applyAlignment="1">
      <alignment horizontal="right" vertical="center"/>
    </xf>
    <xf numFmtId="4" fontId="17" fillId="0" borderId="36" xfId="0" applyNumberFormat="1" applyFont="1" applyBorder="1" applyAlignment="1">
      <alignment horizontal="right" vertical="center"/>
    </xf>
    <xf numFmtId="0" fontId="47" fillId="0" borderId="0" xfId="0" applyFont="1"/>
    <xf numFmtId="0" fontId="17" fillId="0" borderId="13" xfId="14" applyFont="1" applyBorder="1" applyAlignment="1">
      <alignment vertical="center"/>
    </xf>
    <xf numFmtId="3" fontId="14" fillId="0" borderId="3" xfId="14" applyNumberFormat="1" applyFont="1" applyBorder="1" applyAlignment="1">
      <alignment vertical="center"/>
    </xf>
    <xf numFmtId="4" fontId="14" fillId="0" borderId="50" xfId="14" applyNumberFormat="1" applyFont="1" applyBorder="1" applyAlignment="1">
      <alignment vertical="center"/>
    </xf>
    <xf numFmtId="4" fontId="14" fillId="0" borderId="26" xfId="14" applyNumberFormat="1" applyFont="1" applyBorder="1" applyAlignment="1">
      <alignment horizontal="right" vertical="center"/>
    </xf>
    <xf numFmtId="166" fontId="14" fillId="0" borderId="41" xfId="14" applyNumberFormat="1" applyFont="1" applyBorder="1" applyAlignment="1">
      <alignment horizontal="right" vertical="center" wrapText="1"/>
    </xf>
    <xf numFmtId="166" fontId="24" fillId="0" borderId="42" xfId="14" applyNumberFormat="1" applyFont="1" applyBorder="1" applyAlignment="1">
      <alignment horizontal="right" vertical="center" wrapText="1"/>
    </xf>
    <xf numFmtId="0" fontId="47" fillId="0" borderId="41" xfId="0" applyFont="1" applyBorder="1" applyAlignment="1">
      <alignment vertical="center" wrapText="1"/>
    </xf>
    <xf numFmtId="165" fontId="17" fillId="6" borderId="10" xfId="0" applyNumberFormat="1" applyFont="1" applyFill="1" applyBorder="1" applyAlignment="1">
      <alignment horizontal="right" vertical="center"/>
    </xf>
    <xf numFmtId="165" fontId="14" fillId="7" borderId="26" xfId="0" applyNumberFormat="1" applyFont="1" applyFill="1" applyBorder="1" applyAlignment="1">
      <alignment horizontal="right" vertical="center"/>
    </xf>
    <xf numFmtId="165" fontId="18" fillId="7" borderId="10" xfId="0" applyNumberFormat="1" applyFont="1" applyFill="1" applyBorder="1" applyAlignment="1">
      <alignment horizontal="right" vertical="center"/>
    </xf>
    <xf numFmtId="165" fontId="14" fillId="8" borderId="26" xfId="0" applyNumberFormat="1" applyFont="1" applyFill="1" applyBorder="1" applyAlignment="1">
      <alignment horizontal="right" vertical="center"/>
    </xf>
    <xf numFmtId="165" fontId="18" fillId="8" borderId="10" xfId="0" applyNumberFormat="1" applyFont="1" applyFill="1" applyBorder="1" applyAlignment="1">
      <alignment horizontal="right" vertical="center"/>
    </xf>
    <xf numFmtId="0" fontId="12" fillId="0" borderId="76" xfId="0" applyFont="1" applyBorder="1" applyAlignment="1">
      <alignment vertical="center" wrapText="1"/>
    </xf>
    <xf numFmtId="4" fontId="13" fillId="0" borderId="76" xfId="0" applyNumberFormat="1" applyFont="1" applyBorder="1" applyAlignment="1">
      <alignment vertical="center"/>
    </xf>
    <xf numFmtId="165" fontId="12" fillId="0" borderId="76" xfId="0" applyNumberFormat="1" applyFont="1" applyBorder="1" applyAlignment="1">
      <alignment vertical="center"/>
    </xf>
    <xf numFmtId="4" fontId="18" fillId="0" borderId="76" xfId="0" applyNumberFormat="1" applyFont="1" applyBorder="1" applyAlignment="1">
      <alignment vertical="center"/>
    </xf>
    <xf numFmtId="165" fontId="12" fillId="0" borderId="65" xfId="0" applyNumberFormat="1" applyFont="1" applyBorder="1" applyAlignment="1">
      <alignment vertical="center"/>
    </xf>
    <xf numFmtId="4" fontId="17" fillId="0" borderId="0" xfId="14" applyNumberFormat="1" applyFont="1" applyAlignment="1">
      <alignment vertical="center"/>
    </xf>
    <xf numFmtId="4" fontId="12" fillId="0" borderId="0" xfId="14" applyNumberFormat="1" applyFont="1" applyAlignment="1">
      <alignment horizontal="right" vertical="center"/>
    </xf>
    <xf numFmtId="4" fontId="17" fillId="0" borderId="13" xfId="14" applyNumberFormat="1" applyFont="1" applyBorder="1" applyAlignment="1">
      <alignment horizontal="right" vertical="center"/>
    </xf>
    <xf numFmtId="4" fontId="17" fillId="5" borderId="0" xfId="14" applyNumberFormat="1" applyFont="1" applyFill="1" applyAlignment="1">
      <alignment vertical="center"/>
    </xf>
    <xf numFmtId="4" fontId="14" fillId="0" borderId="0" xfId="20" applyNumberFormat="1" applyFont="1" applyAlignment="1">
      <alignment horizontal="right" vertical="center"/>
    </xf>
    <xf numFmtId="4" fontId="15" fillId="0" borderId="0" xfId="0" applyNumberFormat="1" applyFont="1" applyAlignment="1">
      <alignment wrapText="1"/>
    </xf>
    <xf numFmtId="4" fontId="12" fillId="0" borderId="0" xfId="0" applyNumberFormat="1" applyFont="1" applyAlignment="1">
      <alignment horizontal="left" wrapText="1"/>
    </xf>
    <xf numFmtId="4" fontId="12" fillId="0" borderId="0" xfId="0" applyNumberFormat="1" applyFont="1" applyAlignment="1">
      <alignment horizontal="right" wrapText="1"/>
    </xf>
    <xf numFmtId="4" fontId="12" fillId="0" borderId="0" xfId="0" applyNumberFormat="1" applyFont="1" applyAlignment="1">
      <alignment horizontal="right"/>
    </xf>
    <xf numFmtId="3" fontId="17" fillId="0" borderId="8" xfId="14" applyNumberFormat="1" applyFont="1" applyBorder="1" applyAlignment="1">
      <alignment horizontal="right" vertical="center"/>
    </xf>
    <xf numFmtId="3" fontId="18" fillId="3" borderId="18" xfId="0" applyNumberFormat="1" applyFont="1" applyFill="1" applyBorder="1" applyAlignment="1">
      <alignment vertical="center"/>
    </xf>
    <xf numFmtId="3" fontId="14" fillId="3" borderId="12" xfId="0" applyNumberFormat="1" applyFont="1" applyFill="1" applyBorder="1" applyAlignment="1">
      <alignment vertical="center"/>
    </xf>
    <xf numFmtId="4" fontId="18" fillId="0" borderId="65" xfId="0" applyNumberFormat="1" applyFont="1" applyBorder="1" applyAlignment="1">
      <alignment vertical="center"/>
    </xf>
    <xf numFmtId="3" fontId="18" fillId="3" borderId="12" xfId="0" applyNumberFormat="1" applyFont="1" applyFill="1" applyBorder="1"/>
    <xf numFmtId="3" fontId="17" fillId="3" borderId="10" xfId="0" applyNumberFormat="1" applyFont="1" applyFill="1" applyBorder="1"/>
    <xf numFmtId="4" fontId="18" fillId="8" borderId="5" xfId="0" applyNumberFormat="1" applyFont="1" applyFill="1" applyBorder="1" applyAlignment="1">
      <alignment vertical="center"/>
    </xf>
    <xf numFmtId="4" fontId="18" fillId="8" borderId="24" xfId="0" applyNumberFormat="1" applyFont="1" applyFill="1" applyBorder="1" applyAlignment="1">
      <alignment vertical="center"/>
    </xf>
    <xf numFmtId="4" fontId="17" fillId="6" borderId="24" xfId="0" applyNumberFormat="1" applyFont="1" applyFill="1" applyBorder="1" applyAlignment="1">
      <alignment vertical="center"/>
    </xf>
    <xf numFmtId="4" fontId="24" fillId="0" borderId="41" xfId="14" applyNumberFormat="1" applyFont="1" applyBorder="1" applyAlignment="1">
      <alignment horizontal="right" vertical="center"/>
    </xf>
    <xf numFmtId="4" fontId="18" fillId="7" borderId="5" xfId="0" applyNumberFormat="1" applyFont="1" applyFill="1" applyBorder="1" applyAlignment="1">
      <alignment vertical="center"/>
    </xf>
    <xf numFmtId="4" fontId="14" fillId="8" borderId="5" xfId="0" applyNumberFormat="1" applyFont="1" applyFill="1" applyBorder="1" applyAlignment="1">
      <alignment vertical="center"/>
    </xf>
    <xf numFmtId="4" fontId="13" fillId="0" borderId="72" xfId="0" applyNumberFormat="1" applyFont="1" applyBorder="1" applyAlignment="1">
      <alignment vertical="center"/>
    </xf>
    <xf numFmtId="4" fontId="24" fillId="0" borderId="8" xfId="14" applyNumberFormat="1" applyFont="1" applyBorder="1" applyAlignment="1">
      <alignment vertical="center"/>
    </xf>
    <xf numFmtId="165" fontId="24" fillId="0" borderId="3" xfId="15" applyNumberFormat="1" applyFont="1" applyBorder="1" applyAlignment="1">
      <alignment horizontal="right" vertical="center"/>
    </xf>
    <xf numFmtId="165" fontId="24" fillId="0" borderId="43" xfId="14" applyNumberFormat="1" applyFont="1" applyBorder="1" applyAlignment="1">
      <alignment horizontal="right" vertical="center" wrapText="1"/>
    </xf>
    <xf numFmtId="4" fontId="14" fillId="0" borderId="70" xfId="14" applyNumberFormat="1" applyFont="1" applyBorder="1" applyAlignment="1">
      <alignment horizontal="right" vertical="center"/>
    </xf>
    <xf numFmtId="4" fontId="24" fillId="0" borderId="9" xfId="14" applyNumberFormat="1" applyFont="1" applyBorder="1" applyAlignment="1">
      <alignment vertical="center"/>
    </xf>
    <xf numFmtId="0" fontId="24" fillId="5" borderId="8" xfId="14" applyFont="1" applyFill="1" applyBorder="1" applyAlignment="1">
      <alignment vertical="center" wrapText="1"/>
    </xf>
    <xf numFmtId="166" fontId="17" fillId="0" borderId="64" xfId="15" applyNumberFormat="1" applyFont="1" applyBorder="1" applyAlignment="1">
      <alignment horizontal="right" vertical="center"/>
    </xf>
    <xf numFmtId="0" fontId="24" fillId="0" borderId="22" xfId="14" applyFont="1" applyBorder="1" applyAlignment="1">
      <alignment horizontal="left" vertical="center" wrapText="1"/>
    </xf>
    <xf numFmtId="4" fontId="14" fillId="5" borderId="8" xfId="14" applyNumberFormat="1" applyFont="1" applyFill="1" applyBorder="1" applyAlignment="1">
      <alignment horizontal="right" vertical="center"/>
    </xf>
    <xf numFmtId="4" fontId="14" fillId="5" borderId="15" xfId="14" applyNumberFormat="1" applyFont="1" applyFill="1" applyBorder="1" applyAlignment="1">
      <alignment horizontal="right" vertical="center"/>
    </xf>
    <xf numFmtId="4" fontId="14" fillId="5" borderId="77" xfId="14" applyNumberFormat="1" applyFont="1" applyFill="1" applyBorder="1" applyAlignment="1">
      <alignment horizontal="right" vertical="center"/>
    </xf>
    <xf numFmtId="4" fontId="14" fillId="5" borderId="70" xfId="14" applyNumberFormat="1" applyFont="1" applyFill="1" applyBorder="1" applyAlignment="1">
      <alignment horizontal="right" vertical="center"/>
    </xf>
    <xf numFmtId="4" fontId="17" fillId="5" borderId="70" xfId="14" applyNumberFormat="1" applyFont="1" applyFill="1" applyBorder="1" applyAlignment="1">
      <alignment horizontal="right" vertical="center"/>
    </xf>
    <xf numFmtId="3" fontId="17" fillId="5" borderId="70" xfId="14" applyNumberFormat="1" applyFont="1" applyFill="1" applyBorder="1" applyAlignment="1">
      <alignment horizontal="right" vertical="center"/>
    </xf>
    <xf numFmtId="4" fontId="17" fillId="5" borderId="71" xfId="14" applyNumberFormat="1" applyFont="1" applyFill="1" applyBorder="1" applyAlignment="1">
      <alignment horizontal="right" vertical="center"/>
    </xf>
    <xf numFmtId="3" fontId="17" fillId="5" borderId="51" xfId="14" applyNumberFormat="1" applyFont="1" applyFill="1" applyBorder="1" applyAlignment="1">
      <alignment horizontal="right" vertical="center"/>
    </xf>
    <xf numFmtId="4" fontId="17" fillId="5" borderId="37" xfId="14" applyNumberFormat="1" applyFont="1" applyFill="1" applyBorder="1" applyAlignment="1">
      <alignment horizontal="right" vertical="center"/>
    </xf>
    <xf numFmtId="4" fontId="17" fillId="5" borderId="41" xfId="14" applyNumberFormat="1" applyFont="1" applyFill="1" applyBorder="1" applyAlignment="1">
      <alignment vertical="center"/>
    </xf>
    <xf numFmtId="4" fontId="24" fillId="0" borderId="15" xfId="14" applyNumberFormat="1" applyFont="1" applyBorder="1" applyAlignment="1">
      <alignment vertical="center"/>
    </xf>
    <xf numFmtId="4" fontId="24" fillId="0" borderId="25" xfId="14" applyNumberFormat="1" applyFont="1" applyBorder="1" applyAlignment="1">
      <alignment vertical="center"/>
    </xf>
    <xf numFmtId="4" fontId="24" fillId="0" borderId="51" xfId="14" applyNumberFormat="1" applyFont="1" applyBorder="1" applyAlignment="1">
      <alignment vertical="center"/>
    </xf>
    <xf numFmtId="3" fontId="24" fillId="0" borderId="3" xfId="14" applyNumberFormat="1" applyFont="1" applyBorder="1" applyAlignment="1">
      <alignment horizontal="right" vertical="center"/>
    </xf>
    <xf numFmtId="3" fontId="24" fillId="0" borderId="51" xfId="14" applyNumberFormat="1" applyFont="1" applyBorder="1" applyAlignment="1">
      <alignment horizontal="right" vertical="center"/>
    </xf>
    <xf numFmtId="3" fontId="17" fillId="5" borderId="1" xfId="14" applyNumberFormat="1" applyFont="1" applyFill="1" applyBorder="1" applyAlignment="1">
      <alignment vertical="center"/>
    </xf>
    <xf numFmtId="4" fontId="17" fillId="5" borderId="21" xfId="14" applyNumberFormat="1" applyFont="1" applyFill="1" applyBorder="1" applyAlignment="1">
      <alignment horizontal="right" vertical="center"/>
    </xf>
    <xf numFmtId="3" fontId="24" fillId="0" borderId="50" xfId="14" applyNumberFormat="1" applyFont="1" applyBorder="1" applyAlignment="1">
      <alignment horizontal="right" vertical="center"/>
    </xf>
    <xf numFmtId="3" fontId="48" fillId="6" borderId="5" xfId="0" applyNumberFormat="1" applyFont="1" applyFill="1" applyBorder="1" applyAlignment="1">
      <alignment horizontal="right" wrapText="1"/>
    </xf>
    <xf numFmtId="4" fontId="48" fillId="6" borderId="6" xfId="0" applyNumberFormat="1" applyFont="1" applyFill="1" applyBorder="1" applyAlignment="1">
      <alignment wrapText="1"/>
    </xf>
    <xf numFmtId="4" fontId="48" fillId="6" borderId="36" xfId="0" applyNumberFormat="1" applyFont="1" applyFill="1" applyBorder="1" applyAlignment="1">
      <alignment wrapText="1"/>
    </xf>
    <xf numFmtId="3" fontId="48" fillId="6" borderId="5" xfId="0" applyNumberFormat="1" applyFont="1" applyFill="1" applyBorder="1" applyAlignment="1">
      <alignment wrapText="1"/>
    </xf>
    <xf numFmtId="4" fontId="48" fillId="6" borderId="5" xfId="0" applyNumberFormat="1" applyFont="1" applyFill="1" applyBorder="1" applyAlignment="1">
      <alignment wrapText="1"/>
    </xf>
    <xf numFmtId="0" fontId="14" fillId="0" borderId="0" xfId="0" applyFont="1" applyAlignment="1">
      <alignment vertical="center"/>
    </xf>
    <xf numFmtId="0" fontId="14" fillId="0" borderId="0" xfId="1" applyFont="1" applyAlignment="1">
      <alignment vertical="center"/>
    </xf>
    <xf numFmtId="0" fontId="17" fillId="0" borderId="38" xfId="14" applyFont="1" applyBorder="1" applyAlignment="1">
      <alignment vertical="center" wrapText="1"/>
    </xf>
    <xf numFmtId="0" fontId="17" fillId="0" borderId="32" xfId="14" applyFont="1" applyBorder="1" applyAlignment="1">
      <alignment horizontal="center" vertical="center"/>
    </xf>
    <xf numFmtId="4" fontId="14" fillId="7" borderId="22" xfId="0" applyNumberFormat="1" applyFont="1" applyFill="1" applyBorder="1" applyAlignment="1">
      <alignment vertical="center"/>
    </xf>
    <xf numFmtId="4" fontId="14" fillId="8" borderId="26" xfId="0" applyNumberFormat="1" applyFont="1" applyFill="1" applyBorder="1" applyAlignment="1">
      <alignment vertical="center"/>
    </xf>
    <xf numFmtId="4" fontId="17" fillId="6" borderId="48" xfId="0" applyNumberFormat="1" applyFont="1" applyFill="1" applyBorder="1" applyAlignment="1">
      <alignment vertical="center"/>
    </xf>
    <xf numFmtId="4" fontId="14" fillId="8" borderId="24" xfId="0" applyNumberFormat="1" applyFont="1" applyFill="1" applyBorder="1" applyAlignment="1">
      <alignment vertical="center"/>
    </xf>
    <xf numFmtId="4" fontId="18" fillId="7" borderId="24" xfId="0" applyNumberFormat="1" applyFont="1" applyFill="1" applyBorder="1" applyAlignment="1">
      <alignment vertical="center"/>
    </xf>
    <xf numFmtId="4" fontId="14" fillId="7" borderId="26" xfId="0" applyNumberFormat="1" applyFont="1" applyFill="1" applyBorder="1" applyAlignment="1">
      <alignment vertical="center"/>
    </xf>
    <xf numFmtId="4" fontId="14" fillId="7" borderId="50" xfId="0" applyNumberFormat="1" applyFont="1" applyFill="1" applyBorder="1" applyAlignment="1">
      <alignment vertical="center"/>
    </xf>
    <xf numFmtId="4" fontId="18" fillId="0" borderId="69" xfId="0" applyNumberFormat="1" applyFont="1" applyBorder="1" applyAlignment="1">
      <alignment horizontal="right" vertical="center"/>
    </xf>
    <xf numFmtId="3" fontId="17" fillId="0" borderId="13" xfId="14" applyNumberFormat="1" applyFont="1" applyBorder="1" applyAlignment="1">
      <alignment horizontal="right" vertical="center"/>
    </xf>
    <xf numFmtId="0" fontId="47" fillId="0" borderId="0" xfId="0" applyFont="1" applyAlignment="1">
      <alignment horizontal="center" vertical="center"/>
    </xf>
    <xf numFmtId="3" fontId="24" fillId="0" borderId="13" xfId="14" applyNumberFormat="1" applyFont="1" applyBorder="1"/>
    <xf numFmtId="4" fontId="24" fillId="0" borderId="25" xfId="14" applyNumberFormat="1" applyFont="1" applyBorder="1"/>
    <xf numFmtId="3" fontId="24" fillId="0" borderId="2" xfId="14" applyNumberFormat="1" applyFont="1" applyBorder="1"/>
    <xf numFmtId="4" fontId="24" fillId="0" borderId="22" xfId="14" applyNumberFormat="1" applyFont="1" applyBorder="1"/>
    <xf numFmtId="165" fontId="24" fillId="0" borderId="3" xfId="14" applyNumberFormat="1" applyFont="1" applyBorder="1" applyAlignment="1">
      <alignment vertical="center"/>
    </xf>
    <xf numFmtId="4" fontId="18" fillId="7" borderId="6" xfId="0" applyNumberFormat="1" applyFont="1" applyFill="1" applyBorder="1" applyAlignment="1">
      <alignment vertical="center"/>
    </xf>
    <xf numFmtId="4" fontId="18" fillId="7" borderId="16" xfId="0" applyNumberFormat="1" applyFont="1" applyFill="1" applyBorder="1" applyAlignment="1">
      <alignment vertical="center"/>
    </xf>
    <xf numFmtId="169" fontId="14" fillId="0" borderId="0" xfId="0" applyNumberFormat="1" applyFont="1" applyAlignment="1">
      <alignment vertical="center"/>
    </xf>
    <xf numFmtId="4" fontId="49" fillId="3" borderId="12" xfId="0" applyNumberFormat="1" applyFont="1" applyFill="1" applyBorder="1" applyAlignment="1">
      <alignment vertical="center"/>
    </xf>
    <xf numFmtId="0" fontId="50" fillId="7" borderId="47" xfId="0" applyFont="1" applyFill="1" applyBorder="1" applyAlignment="1">
      <alignment vertical="center" wrapText="1"/>
    </xf>
    <xf numFmtId="4" fontId="50" fillId="7" borderId="2" xfId="0" applyNumberFormat="1" applyFont="1" applyFill="1" applyBorder="1" applyAlignment="1">
      <alignment vertical="center"/>
    </xf>
    <xf numFmtId="4" fontId="50" fillId="7" borderId="41" xfId="0" applyNumberFormat="1" applyFont="1" applyFill="1" applyBorder="1" applyAlignment="1">
      <alignment vertical="center"/>
    </xf>
    <xf numFmtId="4" fontId="50" fillId="7" borderId="8" xfId="0" applyNumberFormat="1" applyFont="1" applyFill="1" applyBorder="1" applyAlignment="1">
      <alignment vertical="center"/>
    </xf>
    <xf numFmtId="0" fontId="50" fillId="8" borderId="47" xfId="0" applyFont="1" applyFill="1" applyBorder="1" applyAlignment="1">
      <alignment vertical="center" wrapText="1"/>
    </xf>
    <xf numFmtId="4" fontId="50" fillId="8" borderId="2" xfId="0" applyNumberFormat="1" applyFont="1" applyFill="1" applyBorder="1" applyAlignment="1">
      <alignment vertical="center"/>
    </xf>
    <xf numFmtId="4" fontId="50" fillId="8" borderId="50" xfId="0" applyNumberFormat="1" applyFont="1" applyFill="1" applyBorder="1" applyAlignment="1">
      <alignment vertical="center"/>
    </xf>
    <xf numFmtId="4" fontId="50" fillId="8" borderId="8" xfId="0" applyNumberFormat="1" applyFont="1" applyFill="1" applyBorder="1" applyAlignment="1">
      <alignment vertical="center"/>
    </xf>
    <xf numFmtId="4" fontId="50" fillId="8" borderId="41" xfId="0" applyNumberFormat="1" applyFont="1" applyFill="1" applyBorder="1" applyAlignment="1">
      <alignment vertical="center"/>
    </xf>
    <xf numFmtId="165" fontId="16" fillId="6" borderId="10" xfId="0" applyNumberFormat="1" applyFont="1" applyFill="1" applyBorder="1" applyAlignment="1">
      <alignment horizontal="right" vertical="center"/>
    </xf>
    <xf numFmtId="3" fontId="18" fillId="3" borderId="18" xfId="0" applyNumberFormat="1" applyFont="1" applyFill="1" applyBorder="1"/>
    <xf numFmtId="3" fontId="18" fillId="3" borderId="11" xfId="0" applyNumberFormat="1" applyFont="1" applyFill="1" applyBorder="1"/>
    <xf numFmtId="3" fontId="28" fillId="3" borderId="18" xfId="0" applyNumberFormat="1" applyFont="1" applyFill="1" applyBorder="1"/>
    <xf numFmtId="3" fontId="28" fillId="3" borderId="12" xfId="0" applyNumberFormat="1" applyFont="1" applyFill="1" applyBorder="1"/>
    <xf numFmtId="3" fontId="28" fillId="3" borderId="11" xfId="0" applyNumberFormat="1" applyFont="1" applyFill="1" applyBorder="1"/>
    <xf numFmtId="3" fontId="48" fillId="3" borderId="10" xfId="0" applyNumberFormat="1" applyFont="1" applyFill="1" applyBorder="1"/>
    <xf numFmtId="4" fontId="17" fillId="0" borderId="36" xfId="0" applyNumberFormat="1" applyFont="1" applyBorder="1"/>
    <xf numFmtId="0" fontId="39" fillId="0" borderId="0" xfId="0" applyFont="1"/>
    <xf numFmtId="4" fontId="24" fillId="5" borderId="15" xfId="0" applyNumberFormat="1" applyFont="1" applyFill="1" applyBorder="1" applyAlignment="1">
      <alignment vertical="center"/>
    </xf>
    <xf numFmtId="0" fontId="24" fillId="0" borderId="77" xfId="0" applyFont="1" applyBorder="1" applyAlignment="1">
      <alignment vertical="center" wrapText="1"/>
    </xf>
    <xf numFmtId="166" fontId="14" fillId="0" borderId="0" xfId="0" applyNumberFormat="1" applyFont="1" applyAlignment="1">
      <alignment vertical="center"/>
    </xf>
    <xf numFmtId="4" fontId="17" fillId="0" borderId="8" xfId="14" applyNumberFormat="1" applyFont="1" applyBorder="1" applyAlignment="1">
      <alignment vertical="center"/>
    </xf>
    <xf numFmtId="165" fontId="18" fillId="0" borderId="21" xfId="0" applyNumberFormat="1" applyFont="1" applyBorder="1" applyAlignment="1">
      <alignment vertical="center"/>
    </xf>
    <xf numFmtId="166" fontId="24" fillId="0" borderId="13" xfId="15" applyNumberFormat="1" applyFont="1" applyBorder="1" applyAlignment="1">
      <alignment vertical="center"/>
    </xf>
    <xf numFmtId="166" fontId="24" fillId="0" borderId="42" xfId="14" applyNumberFormat="1" applyFont="1" applyBorder="1" applyAlignment="1">
      <alignment vertical="center" wrapText="1"/>
    </xf>
    <xf numFmtId="3" fontId="17" fillId="0" borderId="60" xfId="15" applyNumberFormat="1" applyFont="1" applyBorder="1"/>
    <xf numFmtId="4" fontId="17" fillId="0" borderId="27" xfId="15" applyNumberFormat="1" applyFont="1" applyBorder="1"/>
    <xf numFmtId="3" fontId="14" fillId="0" borderId="2" xfId="0" applyNumberFormat="1" applyFont="1" applyBorder="1" applyAlignment="1">
      <alignment horizontal="right"/>
    </xf>
    <xf numFmtId="4" fontId="14" fillId="6" borderId="44" xfId="1" applyNumberFormat="1" applyFont="1" applyFill="1" applyBorder="1" applyAlignment="1">
      <alignment horizontal="center" vertical="center" wrapText="1"/>
    </xf>
    <xf numFmtId="3" fontId="14" fillId="0" borderId="70" xfId="0" applyNumberFormat="1" applyFont="1" applyBorder="1"/>
    <xf numFmtId="3" fontId="14" fillId="0" borderId="54" xfId="0" applyNumberFormat="1" applyFont="1" applyBorder="1"/>
    <xf numFmtId="4" fontId="14" fillId="0" borderId="45" xfId="0" applyNumberFormat="1" applyFont="1" applyBorder="1"/>
    <xf numFmtId="3" fontId="14" fillId="0" borderId="47" xfId="0" applyNumberFormat="1" applyFont="1" applyBorder="1"/>
    <xf numFmtId="3" fontId="14" fillId="0" borderId="55" xfId="0" applyNumberFormat="1" applyFont="1" applyBorder="1"/>
    <xf numFmtId="4" fontId="14" fillId="0" borderId="46" xfId="0" applyNumberFormat="1" applyFont="1" applyBorder="1"/>
    <xf numFmtId="3" fontId="31" fillId="0" borderId="2" xfId="0" applyNumberFormat="1" applyFont="1" applyBorder="1" applyAlignment="1">
      <alignment wrapText="1"/>
    </xf>
    <xf numFmtId="4" fontId="31" fillId="0" borderId="8" xfId="0" applyNumberFormat="1" applyFont="1" applyBorder="1" applyAlignment="1">
      <alignment wrapText="1"/>
    </xf>
    <xf numFmtId="0" fontId="17" fillId="0" borderId="13" xfId="19" applyFont="1" applyBorder="1" applyAlignment="1">
      <alignment horizontal="center" vertical="center"/>
    </xf>
    <xf numFmtId="3" fontId="17" fillId="6" borderId="6" xfId="14" applyNumberFormat="1" applyFont="1" applyFill="1" applyBorder="1" applyAlignment="1">
      <alignment vertical="center"/>
    </xf>
    <xf numFmtId="0" fontId="51" fillId="0" borderId="0" xfId="0" applyFont="1" applyAlignment="1">
      <alignment horizontal="justify" vertical="center"/>
    </xf>
    <xf numFmtId="0" fontId="52" fillId="0" borderId="0" xfId="0" applyFont="1" applyAlignment="1">
      <alignment horizontal="justify" vertical="center"/>
    </xf>
    <xf numFmtId="0" fontId="53" fillId="0" borderId="0" xfId="14" applyFont="1" applyAlignment="1">
      <alignment vertical="center"/>
    </xf>
    <xf numFmtId="0" fontId="54" fillId="0" borderId="0" xfId="0" applyFont="1" applyAlignment="1">
      <alignment horizontal="left" vertical="center"/>
    </xf>
    <xf numFmtId="0" fontId="24" fillId="0" borderId="50" xfId="14" applyFont="1" applyBorder="1" applyAlignment="1">
      <alignment vertical="center" wrapText="1"/>
    </xf>
    <xf numFmtId="0" fontId="17" fillId="0" borderId="58" xfId="14" applyFont="1" applyBorder="1" applyAlignment="1">
      <alignment horizontal="center" vertical="center"/>
    </xf>
    <xf numFmtId="0" fontId="29" fillId="0" borderId="0" xfId="14" applyFont="1" applyAlignment="1">
      <alignment vertical="center"/>
    </xf>
    <xf numFmtId="4" fontId="14" fillId="7" borderId="47" xfId="0" applyNumberFormat="1" applyFont="1" applyFill="1" applyBorder="1" applyAlignment="1">
      <alignment vertical="center"/>
    </xf>
    <xf numFmtId="4" fontId="50" fillId="7" borderId="47" xfId="0" applyNumberFormat="1" applyFont="1" applyFill="1" applyBorder="1" applyAlignment="1">
      <alignment vertical="center"/>
    </xf>
    <xf numFmtId="4" fontId="40" fillId="7" borderId="47" xfId="0" applyNumberFormat="1" applyFont="1" applyFill="1" applyBorder="1" applyAlignment="1">
      <alignment vertical="center"/>
    </xf>
    <xf numFmtId="4" fontId="42" fillId="7" borderId="47" xfId="0" applyNumberFormat="1" applyFont="1" applyFill="1" applyBorder="1" applyAlignment="1">
      <alignment vertical="center"/>
    </xf>
    <xf numFmtId="4" fontId="14" fillId="8" borderId="19" xfId="0" applyNumberFormat="1" applyFont="1" applyFill="1" applyBorder="1" applyAlignment="1">
      <alignment vertical="center"/>
    </xf>
    <xf numFmtId="4" fontId="14" fillId="8" borderId="20" xfId="0" applyNumberFormat="1" applyFont="1" applyFill="1" applyBorder="1" applyAlignment="1">
      <alignment vertical="center"/>
    </xf>
    <xf numFmtId="4" fontId="14" fillId="8" borderId="46" xfId="0" applyNumberFormat="1" applyFont="1" applyFill="1" applyBorder="1" applyAlignment="1">
      <alignment vertical="center"/>
    </xf>
    <xf numFmtId="3" fontId="31" fillId="0" borderId="47" xfId="14" applyNumberFormat="1" applyFont="1" applyBorder="1" applyAlignment="1">
      <alignment horizontal="right" vertical="center"/>
    </xf>
    <xf numFmtId="4" fontId="31" fillId="0" borderId="9" xfId="14" applyNumberFormat="1" applyFont="1" applyBorder="1" applyAlignment="1">
      <alignment horizontal="right" vertical="center"/>
    </xf>
    <xf numFmtId="4" fontId="31" fillId="0" borderId="26" xfId="14" applyNumberFormat="1" applyFont="1" applyBorder="1" applyAlignment="1">
      <alignment horizontal="right" vertical="center"/>
    </xf>
    <xf numFmtId="0" fontId="24" fillId="0" borderId="38" xfId="14" applyFont="1" applyBorder="1" applyAlignment="1">
      <alignment vertical="center" wrapText="1"/>
    </xf>
    <xf numFmtId="3" fontId="14" fillId="0" borderId="5" xfId="0" applyNumberFormat="1" applyFont="1" applyBorder="1"/>
    <xf numFmtId="4" fontId="14" fillId="0" borderId="16" xfId="0" applyNumberFormat="1" applyFont="1" applyBorder="1"/>
    <xf numFmtId="0" fontId="17" fillId="0" borderId="62" xfId="1" applyFont="1" applyBorder="1" applyAlignment="1">
      <alignment vertical="center" wrapText="1"/>
    </xf>
    <xf numFmtId="165" fontId="24" fillId="0" borderId="12" xfId="0" applyNumberFormat="1" applyFont="1" applyBorder="1" applyAlignment="1">
      <alignment horizontal="right" vertical="center"/>
    </xf>
    <xf numFmtId="4" fontId="17" fillId="0" borderId="8" xfId="1" applyNumberFormat="1" applyFont="1" applyBorder="1" applyAlignment="1">
      <alignment vertical="center"/>
    </xf>
    <xf numFmtId="3" fontId="18" fillId="6" borderId="30" xfId="1" applyNumberFormat="1" applyFont="1" applyFill="1" applyBorder="1" applyAlignment="1">
      <alignment horizontal="center" vertical="center" wrapText="1"/>
    </xf>
    <xf numFmtId="3" fontId="18" fillId="6" borderId="27" xfId="1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vertical="center"/>
    </xf>
    <xf numFmtId="3" fontId="17" fillId="3" borderId="10" xfId="14" applyNumberFormat="1" applyFont="1" applyFill="1" applyBorder="1" applyAlignment="1">
      <alignment horizontal="right" vertical="center"/>
    </xf>
    <xf numFmtId="3" fontId="25" fillId="3" borderId="18" xfId="0" applyNumberFormat="1" applyFont="1" applyFill="1" applyBorder="1" applyAlignment="1">
      <alignment vertical="center"/>
    </xf>
    <xf numFmtId="3" fontId="18" fillId="3" borderId="12" xfId="0" applyNumberFormat="1" applyFont="1" applyFill="1" applyBorder="1" applyAlignment="1">
      <alignment vertical="center"/>
    </xf>
    <xf numFmtId="3" fontId="18" fillId="3" borderId="14" xfId="0" applyNumberFormat="1" applyFont="1" applyFill="1" applyBorder="1" applyAlignment="1">
      <alignment horizontal="right" vertical="center"/>
    </xf>
    <xf numFmtId="3" fontId="25" fillId="3" borderId="12" xfId="0" applyNumberFormat="1" applyFont="1" applyFill="1" applyBorder="1" applyAlignment="1">
      <alignment horizontal="right" vertical="center"/>
    </xf>
    <xf numFmtId="3" fontId="25" fillId="3" borderId="62" xfId="0" applyNumberFormat="1" applyFont="1" applyFill="1" applyBorder="1" applyAlignment="1">
      <alignment horizontal="right" vertical="center"/>
    </xf>
    <xf numFmtId="3" fontId="24" fillId="3" borderId="12" xfId="0" applyNumberFormat="1" applyFont="1" applyFill="1" applyBorder="1" applyAlignment="1">
      <alignment horizontal="right" vertical="center"/>
    </xf>
    <xf numFmtId="3" fontId="24" fillId="3" borderId="62" xfId="0" applyNumberFormat="1" applyFont="1" applyFill="1" applyBorder="1" applyAlignment="1">
      <alignment horizontal="right" vertical="center"/>
    </xf>
    <xf numFmtId="3" fontId="18" fillId="0" borderId="54" xfId="0" applyNumberFormat="1" applyFont="1" applyBorder="1" applyAlignment="1">
      <alignment vertical="center"/>
    </xf>
    <xf numFmtId="3" fontId="18" fillId="0" borderId="55" xfId="0" applyNumberFormat="1" applyFont="1" applyBorder="1" applyAlignment="1">
      <alignment vertical="center" wrapText="1"/>
    </xf>
    <xf numFmtId="3" fontId="18" fillId="6" borderId="56" xfId="0" applyNumberFormat="1" applyFont="1" applyFill="1" applyBorder="1" applyAlignment="1">
      <alignment vertical="center"/>
    </xf>
    <xf numFmtId="3" fontId="18" fillId="0" borderId="14" xfId="0" applyNumberFormat="1" applyFont="1" applyBorder="1" applyAlignment="1">
      <alignment vertical="center"/>
    </xf>
    <xf numFmtId="3" fontId="18" fillId="0" borderId="47" xfId="0" applyNumberFormat="1" applyFont="1" applyBorder="1" applyAlignment="1">
      <alignment vertical="center" wrapText="1"/>
    </xf>
    <xf numFmtId="3" fontId="18" fillId="3" borderId="12" xfId="2" applyNumberFormat="1" applyFont="1" applyFill="1" applyBorder="1" applyAlignment="1">
      <alignment vertical="center"/>
    </xf>
    <xf numFmtId="3" fontId="18" fillId="3" borderId="28" xfId="2" applyNumberFormat="1" applyFont="1" applyFill="1" applyBorder="1" applyAlignment="1">
      <alignment vertical="center"/>
    </xf>
    <xf numFmtId="0" fontId="24" fillId="0" borderId="17" xfId="14" applyFont="1" applyBorder="1" applyAlignment="1">
      <alignment vertical="center"/>
    </xf>
    <xf numFmtId="166" fontId="12" fillId="0" borderId="0" xfId="14" applyNumberFormat="1" applyFont="1" applyAlignment="1">
      <alignment vertical="center"/>
    </xf>
    <xf numFmtId="0" fontId="32" fillId="0" borderId="0" xfId="0" applyFont="1" applyAlignment="1">
      <alignment vertical="center"/>
    </xf>
    <xf numFmtId="49" fontId="14" fillId="0" borderId="4" xfId="0" applyNumberFormat="1" applyFont="1" applyBorder="1" applyAlignment="1">
      <alignment horizontal="center" vertical="center"/>
    </xf>
    <xf numFmtId="165" fontId="14" fillId="8" borderId="12" xfId="0" applyNumberFormat="1" applyFont="1" applyFill="1" applyBorder="1" applyAlignment="1">
      <alignment vertical="center"/>
    </xf>
    <xf numFmtId="166" fontId="12" fillId="0" borderId="0" xfId="14" applyNumberFormat="1" applyFont="1" applyAlignment="1">
      <alignment horizontal="left"/>
    </xf>
    <xf numFmtId="49" fontId="14" fillId="0" borderId="2" xfId="0" applyNumberFormat="1" applyFont="1" applyBorder="1" applyAlignment="1">
      <alignment horizontal="center" vertical="center"/>
    </xf>
    <xf numFmtId="166" fontId="14" fillId="0" borderId="0" xfId="15" applyNumberFormat="1" applyFont="1" applyAlignment="1">
      <alignment horizontal="left"/>
    </xf>
    <xf numFmtId="0" fontId="17" fillId="0" borderId="21" xfId="21" applyFont="1" applyBorder="1" applyAlignment="1">
      <alignment vertical="center" wrapText="1"/>
    </xf>
    <xf numFmtId="0" fontId="17" fillId="0" borderId="25" xfId="21" applyFont="1" applyBorder="1" applyAlignment="1">
      <alignment vertical="center" wrapText="1"/>
    </xf>
    <xf numFmtId="0" fontId="17" fillId="0" borderId="23" xfId="21" applyFont="1" applyBorder="1" applyAlignment="1">
      <alignment vertical="center" wrapText="1"/>
    </xf>
    <xf numFmtId="4" fontId="17" fillId="0" borderId="20" xfId="14" applyNumberFormat="1" applyFont="1" applyBorder="1" applyAlignment="1">
      <alignment vertical="center"/>
    </xf>
    <xf numFmtId="166" fontId="17" fillId="0" borderId="19" xfId="15" applyNumberFormat="1" applyFont="1" applyBorder="1" applyAlignment="1">
      <alignment horizontal="right" vertical="center"/>
    </xf>
    <xf numFmtId="166" fontId="17" fillId="0" borderId="46" xfId="14" applyNumberFormat="1" applyFont="1" applyBorder="1" applyAlignment="1">
      <alignment horizontal="right" vertical="center" wrapText="1"/>
    </xf>
    <xf numFmtId="0" fontId="17" fillId="0" borderId="0" xfId="14" applyFont="1" applyAlignment="1">
      <alignment horizontal="left"/>
    </xf>
    <xf numFmtId="0" fontId="17" fillId="0" borderId="68" xfId="14" applyFont="1" applyBorder="1" applyAlignment="1">
      <alignment vertical="center" wrapText="1"/>
    </xf>
    <xf numFmtId="3" fontId="17" fillId="0" borderId="31" xfId="14" applyNumberFormat="1" applyFont="1" applyBorder="1" applyAlignment="1">
      <alignment vertical="center"/>
    </xf>
    <xf numFmtId="4" fontId="17" fillId="0" borderId="44" xfId="14" applyNumberFormat="1" applyFont="1" applyBorder="1" applyAlignment="1">
      <alignment vertical="center"/>
    </xf>
    <xf numFmtId="3" fontId="17" fillId="0" borderId="64" xfId="14" applyNumberFormat="1" applyFont="1" applyBorder="1" applyAlignment="1">
      <alignment vertical="center"/>
    </xf>
    <xf numFmtId="4" fontId="17" fillId="0" borderId="30" xfId="14" applyNumberFormat="1" applyFont="1" applyBorder="1" applyAlignment="1">
      <alignment horizontal="right" vertical="center"/>
    </xf>
    <xf numFmtId="4" fontId="17" fillId="0" borderId="68" xfId="14" applyNumberFormat="1" applyFont="1" applyBorder="1" applyAlignment="1">
      <alignment horizontal="right" vertical="center"/>
    </xf>
    <xf numFmtId="166" fontId="12" fillId="0" borderId="0" xfId="14" applyNumberFormat="1" applyFont="1" applyAlignment="1">
      <alignment horizontal="left" vertical="center"/>
    </xf>
    <xf numFmtId="0" fontId="14" fillId="0" borderId="0" xfId="0" applyFont="1"/>
    <xf numFmtId="166" fontId="14" fillId="0" borderId="0" xfId="14" applyNumberFormat="1" applyFont="1"/>
    <xf numFmtId="166" fontId="18" fillId="0" borderId="0" xfId="14" applyNumberFormat="1" applyFont="1" applyAlignment="1">
      <alignment horizontal="right" wrapText="1"/>
    </xf>
    <xf numFmtId="166" fontId="14" fillId="0" borderId="0" xfId="14" applyNumberFormat="1" applyFont="1" applyAlignment="1">
      <alignment horizontal="left"/>
    </xf>
    <xf numFmtId="4" fontId="17" fillId="0" borderId="23" xfId="1" applyNumberFormat="1" applyFont="1" applyBorder="1" applyAlignment="1">
      <alignment vertical="center"/>
    </xf>
    <xf numFmtId="4" fontId="17" fillId="0" borderId="24" xfId="1" applyNumberFormat="1" applyFont="1" applyBorder="1" applyAlignment="1">
      <alignment vertical="center"/>
    </xf>
    <xf numFmtId="4" fontId="17" fillId="0" borderId="6" xfId="1" applyNumberFormat="1" applyFont="1" applyBorder="1" applyAlignment="1">
      <alignment vertical="center"/>
    </xf>
    <xf numFmtId="0" fontId="22" fillId="0" borderId="0" xfId="1" applyFont="1" applyAlignment="1">
      <alignment vertical="center" wrapText="1"/>
    </xf>
    <xf numFmtId="0" fontId="17" fillId="0" borderId="4" xfId="14" applyFont="1" applyBorder="1" applyAlignment="1">
      <alignment horizontal="center" vertical="center"/>
    </xf>
    <xf numFmtId="0" fontId="17" fillId="0" borderId="31" xfId="14" applyFont="1" applyBorder="1" applyAlignment="1">
      <alignment horizontal="center" vertical="center"/>
    </xf>
    <xf numFmtId="0" fontId="17" fillId="0" borderId="45" xfId="14" applyFont="1" applyBorder="1" applyAlignment="1">
      <alignment vertical="center" wrapText="1"/>
    </xf>
    <xf numFmtId="0" fontId="17" fillId="0" borderId="7" xfId="14" applyFont="1" applyBorder="1" applyAlignment="1">
      <alignment vertical="center" wrapText="1"/>
    </xf>
    <xf numFmtId="3" fontId="17" fillId="0" borderId="0" xfId="0" applyNumberFormat="1" applyFont="1"/>
    <xf numFmtId="165" fontId="14" fillId="0" borderId="14" xfId="0" applyNumberFormat="1" applyFont="1" applyBorder="1" applyAlignment="1">
      <alignment horizontal="right" vertical="center"/>
    </xf>
    <xf numFmtId="0" fontId="12" fillId="0" borderId="0" xfId="0" applyFont="1" applyAlignment="1">
      <alignment horizontal="right"/>
    </xf>
    <xf numFmtId="0" fontId="33" fillId="0" borderId="0" xfId="0" applyFont="1"/>
    <xf numFmtId="3" fontId="14" fillId="0" borderId="49" xfId="0" applyNumberFormat="1" applyFont="1" applyBorder="1" applyAlignment="1">
      <alignment vertical="center"/>
    </xf>
    <xf numFmtId="4" fontId="14" fillId="0" borderId="50" xfId="2" applyNumberFormat="1" applyFont="1" applyBorder="1" applyAlignment="1">
      <alignment vertical="center"/>
    </xf>
    <xf numFmtId="4" fontId="14" fillId="0" borderId="72" xfId="2" applyNumberFormat="1" applyFont="1" applyBorder="1" applyAlignment="1">
      <alignment vertical="center"/>
    </xf>
    <xf numFmtId="3" fontId="14" fillId="0" borderId="1" xfId="2" applyNumberFormat="1" applyFont="1" applyBorder="1" applyAlignment="1">
      <alignment vertical="center"/>
    </xf>
    <xf numFmtId="3" fontId="14" fillId="0" borderId="31" xfId="2" applyNumberFormat="1" applyFont="1" applyBorder="1" applyAlignment="1">
      <alignment vertical="center"/>
    </xf>
    <xf numFmtId="0" fontId="14" fillId="0" borderId="0" xfId="14" applyFont="1" applyAlignment="1">
      <alignment vertical="top"/>
    </xf>
    <xf numFmtId="49" fontId="14" fillId="0" borderId="15" xfId="14" applyNumberFormat="1" applyFont="1" applyBorder="1" applyAlignment="1">
      <alignment horizontal="center" vertical="center"/>
    </xf>
    <xf numFmtId="3" fontId="17" fillId="0" borderId="0" xfId="14" applyNumberFormat="1" applyFont="1" applyAlignment="1">
      <alignment vertical="center"/>
    </xf>
    <xf numFmtId="166" fontId="17" fillId="0" borderId="0" xfId="15" applyNumberFormat="1" applyFont="1" applyAlignment="1">
      <alignment horizontal="right" vertical="center"/>
    </xf>
    <xf numFmtId="166" fontId="17" fillId="0" borderId="0" xfId="14" applyNumberFormat="1" applyFont="1" applyAlignment="1">
      <alignment horizontal="right" vertical="center" wrapText="1"/>
    </xf>
    <xf numFmtId="3" fontId="24" fillId="0" borderId="64" xfId="14" applyNumberFormat="1" applyFont="1" applyBorder="1" applyAlignment="1">
      <alignment vertical="center"/>
    </xf>
    <xf numFmtId="4" fontId="24" fillId="0" borderId="34" xfId="14" applyNumberFormat="1" applyFont="1" applyBorder="1" applyAlignment="1">
      <alignment vertical="center"/>
    </xf>
    <xf numFmtId="4" fontId="24" fillId="0" borderId="31" xfId="14" applyNumberFormat="1" applyFont="1" applyBorder="1" applyAlignment="1">
      <alignment horizontal="right" vertical="center"/>
    </xf>
    <xf numFmtId="4" fontId="24" fillId="0" borderId="2" xfId="14" applyNumberFormat="1" applyFont="1" applyBorder="1" applyAlignment="1">
      <alignment horizontal="right" vertical="center"/>
    </xf>
    <xf numFmtId="4" fontId="17" fillId="0" borderId="17" xfId="14" applyNumberFormat="1" applyFont="1" applyBorder="1" applyAlignment="1">
      <alignment vertical="center"/>
    </xf>
    <xf numFmtId="4" fontId="12" fillId="0" borderId="9" xfId="14" applyNumberFormat="1" applyFont="1" applyBorder="1" applyAlignment="1">
      <alignment vertical="center"/>
    </xf>
    <xf numFmtId="4" fontId="12" fillId="0" borderId="43" xfId="14" applyNumberFormat="1" applyFont="1" applyBorder="1" applyAlignment="1">
      <alignment vertical="center"/>
    </xf>
    <xf numFmtId="4" fontId="24" fillId="0" borderId="77" xfId="14" applyNumberFormat="1" applyFont="1" applyBorder="1" applyAlignment="1">
      <alignment vertical="center"/>
    </xf>
    <xf numFmtId="3" fontId="24" fillId="0" borderId="13" xfId="14" applyNumberFormat="1" applyFont="1" applyBorder="1" applyAlignment="1">
      <alignment horizontal="right" vertical="center"/>
    </xf>
    <xf numFmtId="4" fontId="12" fillId="0" borderId="0" xfId="14" applyNumberFormat="1" applyFont="1" applyAlignment="1">
      <alignment horizontal="right"/>
    </xf>
    <xf numFmtId="0" fontId="56" fillId="0" borderId="0" xfId="0" applyFont="1" applyAlignment="1">
      <alignment horizontal="justify" vertical="center"/>
    </xf>
    <xf numFmtId="0" fontId="57" fillId="0" borderId="0" xfId="0" applyFont="1" applyAlignment="1">
      <alignment horizontal="justify" vertical="center"/>
    </xf>
    <xf numFmtId="3" fontId="18" fillId="0" borderId="59" xfId="0" applyNumberFormat="1" applyFont="1" applyBorder="1" applyAlignment="1">
      <alignment vertical="center"/>
    </xf>
    <xf numFmtId="0" fontId="24" fillId="0" borderId="8" xfId="19" applyFont="1" applyBorder="1" applyAlignment="1">
      <alignment vertical="center" wrapText="1"/>
    </xf>
    <xf numFmtId="165" fontId="18" fillId="0" borderId="14" xfId="0" applyNumberFormat="1" applyFont="1" applyBorder="1" applyAlignment="1">
      <alignment horizontal="right" vertical="center"/>
    </xf>
    <xf numFmtId="0" fontId="18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6" fontId="12" fillId="0" borderId="0" xfId="0" applyNumberFormat="1" applyFont="1" applyAlignment="1">
      <alignment vertical="center"/>
    </xf>
    <xf numFmtId="1" fontId="12" fillId="0" borderId="0" xfId="0" applyNumberFormat="1" applyFont="1" applyAlignment="1">
      <alignment vertical="center"/>
    </xf>
    <xf numFmtId="0" fontId="14" fillId="0" borderId="17" xfId="14" applyFont="1" applyBorder="1" applyAlignment="1">
      <alignment vertical="top" wrapText="1"/>
    </xf>
    <xf numFmtId="3" fontId="17" fillId="3" borderId="14" xfId="14" applyNumberFormat="1" applyFont="1" applyFill="1" applyBorder="1" applyAlignment="1">
      <alignment horizontal="right" vertical="center"/>
    </xf>
    <xf numFmtId="3" fontId="17" fillId="3" borderId="12" xfId="14" applyNumberFormat="1" applyFont="1" applyFill="1" applyBorder="1" applyAlignment="1">
      <alignment horizontal="right" vertical="center"/>
    </xf>
    <xf numFmtId="3" fontId="25" fillId="3" borderId="12" xfId="14" applyNumberFormat="1" applyFont="1" applyFill="1" applyBorder="1" applyAlignment="1">
      <alignment horizontal="right" vertical="center"/>
    </xf>
    <xf numFmtId="3" fontId="17" fillId="3" borderId="11" xfId="14" applyNumberFormat="1" applyFont="1" applyFill="1" applyBorder="1" applyAlignment="1">
      <alignment horizontal="right" vertical="center"/>
    </xf>
    <xf numFmtId="3" fontId="17" fillId="3" borderId="10" xfId="14" applyNumberFormat="1" applyFont="1" applyFill="1" applyBorder="1" applyAlignment="1">
      <alignment vertical="center"/>
    </xf>
    <xf numFmtId="3" fontId="17" fillId="3" borderId="18" xfId="14" applyNumberFormat="1" applyFont="1" applyFill="1" applyBorder="1" applyAlignment="1">
      <alignment horizontal="right" vertical="center"/>
    </xf>
    <xf numFmtId="3" fontId="17" fillId="3" borderId="62" xfId="14" applyNumberFormat="1" applyFont="1" applyFill="1" applyBorder="1" applyAlignment="1">
      <alignment horizontal="right" vertical="center"/>
    </xf>
    <xf numFmtId="3" fontId="24" fillId="3" borderId="18" xfId="14" applyNumberFormat="1" applyFont="1" applyFill="1" applyBorder="1" applyAlignment="1">
      <alignment vertical="center"/>
    </xf>
    <xf numFmtId="3" fontId="17" fillId="3" borderId="11" xfId="14" applyNumberFormat="1" applyFont="1" applyFill="1" applyBorder="1" applyAlignment="1">
      <alignment vertical="center"/>
    </xf>
    <xf numFmtId="0" fontId="17" fillId="0" borderId="80" xfId="14" applyFont="1" applyBorder="1" applyAlignment="1">
      <alignment vertical="center" wrapText="1"/>
    </xf>
    <xf numFmtId="3" fontId="17" fillId="0" borderId="4" xfId="14" applyNumberFormat="1" applyFont="1" applyBorder="1" applyAlignment="1">
      <alignment vertical="center"/>
    </xf>
    <xf numFmtId="4" fontId="17" fillId="0" borderId="27" xfId="14" applyNumberFormat="1" applyFont="1" applyBorder="1" applyAlignment="1">
      <alignment vertical="center"/>
    </xf>
    <xf numFmtId="4" fontId="17" fillId="0" borderId="72" xfId="14" applyNumberFormat="1" applyFont="1" applyBorder="1" applyAlignment="1">
      <alignment horizontal="right" vertical="center"/>
    </xf>
    <xf numFmtId="4" fontId="17" fillId="0" borderId="0" xfId="14" applyNumberFormat="1" applyFont="1" applyAlignment="1">
      <alignment horizontal="right" vertical="center"/>
    </xf>
    <xf numFmtId="3" fontId="24" fillId="0" borderId="0" xfId="14" applyNumberFormat="1" applyFont="1"/>
    <xf numFmtId="0" fontId="12" fillId="0" borderId="0" xfId="14" applyFont="1" applyAlignment="1">
      <alignment horizontal="left"/>
    </xf>
    <xf numFmtId="166" fontId="14" fillId="0" borderId="0" xfId="15" applyNumberFormat="1" applyFont="1"/>
    <xf numFmtId="3" fontId="17" fillId="9" borderId="14" xfId="14" applyNumberFormat="1" applyFont="1" applyFill="1" applyBorder="1" applyAlignment="1">
      <alignment horizontal="right" vertical="center"/>
    </xf>
    <xf numFmtId="3" fontId="12" fillId="3" borderId="11" xfId="14" applyNumberFormat="1" applyFont="1" applyFill="1" applyBorder="1" applyAlignment="1">
      <alignment vertical="center"/>
    </xf>
    <xf numFmtId="166" fontId="12" fillId="0" borderId="0" xfId="14" applyNumberFormat="1" applyFont="1"/>
    <xf numFmtId="0" fontId="16" fillId="0" borderId="0" xfId="14" applyFont="1" applyAlignment="1">
      <alignment horizontal="left"/>
    </xf>
    <xf numFmtId="1" fontId="12" fillId="0" borderId="0" xfId="14" applyNumberFormat="1" applyFont="1"/>
    <xf numFmtId="0" fontId="13" fillId="0" borderId="0" xfId="14" applyFont="1" applyAlignment="1">
      <alignment horizontal="left"/>
    </xf>
    <xf numFmtId="4" fontId="12" fillId="0" borderId="0" xfId="14" applyNumberFormat="1" applyFont="1" applyAlignment="1">
      <alignment horizontal="left"/>
    </xf>
    <xf numFmtId="3" fontId="17" fillId="3" borderId="10" xfId="14" applyNumberFormat="1" applyFont="1" applyFill="1" applyBorder="1"/>
    <xf numFmtId="3" fontId="25" fillId="3" borderId="11" xfId="14" applyNumberFormat="1" applyFont="1" applyFill="1" applyBorder="1" applyAlignment="1">
      <alignment horizontal="right" vertical="center"/>
    </xf>
    <xf numFmtId="3" fontId="25" fillId="3" borderId="62" xfId="14" applyNumberFormat="1" applyFont="1" applyFill="1" applyBorder="1" applyAlignment="1">
      <alignment horizontal="right" vertical="center"/>
    </xf>
    <xf numFmtId="4" fontId="14" fillId="0" borderId="7" xfId="0" applyNumberFormat="1" applyFont="1" applyBorder="1"/>
    <xf numFmtId="4" fontId="14" fillId="0" borderId="8" xfId="0" applyNumberFormat="1" applyFont="1" applyBorder="1"/>
    <xf numFmtId="4" fontId="14" fillId="0" borderId="20" xfId="0" applyNumberFormat="1" applyFont="1" applyBorder="1"/>
    <xf numFmtId="3" fontId="14" fillId="0" borderId="1" xfId="0" applyNumberFormat="1" applyFont="1" applyBorder="1" applyAlignment="1">
      <alignment horizontal="right" vertical="center"/>
    </xf>
    <xf numFmtId="3" fontId="14" fillId="0" borderId="7" xfId="0" applyNumberFormat="1" applyFont="1" applyBorder="1" applyAlignment="1">
      <alignment horizontal="right" vertical="center"/>
    </xf>
    <xf numFmtId="3" fontId="14" fillId="0" borderId="45" xfId="0" applyNumberFormat="1" applyFont="1" applyBorder="1" applyAlignment="1">
      <alignment horizontal="right" vertical="center"/>
    </xf>
    <xf numFmtId="3" fontId="14" fillId="3" borderId="1" xfId="0" applyNumberFormat="1" applyFont="1" applyFill="1" applyBorder="1" applyAlignment="1">
      <alignment horizontal="right" vertical="center"/>
    </xf>
    <xf numFmtId="3" fontId="14" fillId="3" borderId="7" xfId="0" applyNumberFormat="1" applyFont="1" applyFill="1" applyBorder="1" applyAlignment="1">
      <alignment horizontal="right" vertical="center"/>
    </xf>
    <xf numFmtId="3" fontId="14" fillId="3" borderId="45" xfId="0" applyNumberFormat="1" applyFont="1" applyFill="1" applyBorder="1" applyAlignment="1">
      <alignment vertical="center"/>
    </xf>
    <xf numFmtId="3" fontId="18" fillId="0" borderId="14" xfId="0" applyNumberFormat="1" applyFont="1" applyBorder="1" applyAlignment="1">
      <alignment horizontal="right" vertical="center"/>
    </xf>
    <xf numFmtId="3" fontId="18" fillId="3" borderId="21" xfId="0" applyNumberFormat="1" applyFont="1" applyFill="1" applyBorder="1" applyAlignment="1">
      <alignment vertical="center"/>
    </xf>
    <xf numFmtId="3" fontId="14" fillId="0" borderId="13" xfId="0" applyNumberFormat="1" applyFont="1" applyBorder="1" applyAlignment="1">
      <alignment horizontal="right" vertical="center"/>
    </xf>
    <xf numFmtId="3" fontId="14" fillId="0" borderId="15" xfId="0" applyNumberFormat="1" applyFont="1" applyBorder="1" applyAlignment="1">
      <alignment horizontal="right" vertical="center"/>
    </xf>
    <xf numFmtId="3" fontId="14" fillId="0" borderId="42" xfId="0" applyNumberFormat="1" applyFont="1" applyBorder="1" applyAlignment="1">
      <alignment horizontal="right" vertical="center"/>
    </xf>
    <xf numFmtId="3" fontId="14" fillId="3" borderId="2" xfId="0" applyNumberFormat="1" applyFont="1" applyFill="1" applyBorder="1" applyAlignment="1">
      <alignment horizontal="right" vertical="center"/>
    </xf>
    <xf numFmtId="3" fontId="14" fillId="3" borderId="15" xfId="0" applyNumberFormat="1" applyFont="1" applyFill="1" applyBorder="1" applyAlignment="1">
      <alignment horizontal="right" vertical="center"/>
    </xf>
    <xf numFmtId="3" fontId="14" fillId="3" borderId="42" xfId="0" applyNumberFormat="1" applyFont="1" applyFill="1" applyBorder="1" applyAlignment="1">
      <alignment vertical="center"/>
    </xf>
    <xf numFmtId="3" fontId="18" fillId="0" borderId="12" xfId="0" applyNumberFormat="1" applyFont="1" applyBorder="1" applyAlignment="1">
      <alignment horizontal="right" vertical="center"/>
    </xf>
    <xf numFmtId="3" fontId="18" fillId="3" borderId="25" xfId="0" applyNumberFormat="1" applyFont="1" applyFill="1" applyBorder="1" applyAlignment="1">
      <alignment vertical="center"/>
    </xf>
    <xf numFmtId="3" fontId="14" fillId="0" borderId="2" xfId="0" applyNumberFormat="1" applyFont="1" applyBorder="1" applyAlignment="1">
      <alignment horizontal="right" vertical="center"/>
    </xf>
    <xf numFmtId="3" fontId="14" fillId="0" borderId="8" xfId="0" applyNumberFormat="1" applyFont="1" applyBorder="1" applyAlignment="1">
      <alignment horizontal="right" vertical="center"/>
    </xf>
    <xf numFmtId="3" fontId="14" fillId="0" borderId="41" xfId="0" applyNumberFormat="1" applyFont="1" applyBorder="1" applyAlignment="1">
      <alignment horizontal="right" vertical="center"/>
    </xf>
    <xf numFmtId="3" fontId="14" fillId="3" borderId="8" xfId="0" applyNumberFormat="1" applyFont="1" applyFill="1" applyBorder="1" applyAlignment="1">
      <alignment horizontal="right" vertical="center"/>
    </xf>
    <xf numFmtId="3" fontId="14" fillId="3" borderId="41" xfId="0" applyNumberFormat="1" applyFont="1" applyFill="1" applyBorder="1" applyAlignment="1">
      <alignment vertical="center"/>
    </xf>
    <xf numFmtId="3" fontId="18" fillId="3" borderId="22" xfId="0" applyNumberFormat="1" applyFont="1" applyFill="1" applyBorder="1" applyAlignment="1">
      <alignment vertical="center"/>
    </xf>
    <xf numFmtId="3" fontId="14" fillId="0" borderId="8" xfId="0" applyNumberFormat="1" applyFont="1" applyBorder="1" applyAlignment="1">
      <alignment vertical="center"/>
    </xf>
    <xf numFmtId="3" fontId="14" fillId="0" borderId="41" xfId="0" applyNumberFormat="1" applyFont="1" applyBorder="1" applyAlignment="1">
      <alignment vertical="center"/>
    </xf>
    <xf numFmtId="3" fontId="18" fillId="0" borderId="11" xfId="0" applyNumberFormat="1" applyFont="1" applyBorder="1" applyAlignment="1">
      <alignment horizontal="right" vertical="center"/>
    </xf>
    <xf numFmtId="3" fontId="14" fillId="3" borderId="19" xfId="0" applyNumberFormat="1" applyFont="1" applyFill="1" applyBorder="1" applyAlignment="1">
      <alignment horizontal="right" vertical="center"/>
    </xf>
    <xf numFmtId="3" fontId="18" fillId="0" borderId="62" xfId="0" applyNumberFormat="1" applyFont="1" applyBorder="1" applyAlignment="1">
      <alignment horizontal="right" vertical="center"/>
    </xf>
    <xf numFmtId="3" fontId="18" fillId="6" borderId="5" xfId="0" applyNumberFormat="1" applyFont="1" applyFill="1" applyBorder="1" applyAlignment="1">
      <alignment horizontal="right" vertical="center"/>
    </xf>
    <xf numFmtId="3" fontId="18" fillId="6" borderId="6" xfId="0" applyNumberFormat="1" applyFont="1" applyFill="1" applyBorder="1" applyAlignment="1">
      <alignment horizontal="right" vertical="center"/>
    </xf>
    <xf numFmtId="3" fontId="18" fillId="6" borderId="16" xfId="0" applyNumberFormat="1" applyFont="1" applyFill="1" applyBorder="1" applyAlignment="1">
      <alignment horizontal="right" vertical="center"/>
    </xf>
    <xf numFmtId="3" fontId="18" fillId="3" borderId="6" xfId="0" applyNumberFormat="1" applyFont="1" applyFill="1" applyBorder="1" applyAlignment="1">
      <alignment horizontal="right" vertical="center"/>
    </xf>
    <xf numFmtId="3" fontId="18" fillId="3" borderId="16" xfId="0" applyNumberFormat="1" applyFont="1" applyFill="1" applyBorder="1" applyAlignment="1">
      <alignment horizontal="right" vertical="center"/>
    </xf>
    <xf numFmtId="3" fontId="18" fillId="6" borderId="10" xfId="0" applyNumberFormat="1" applyFont="1" applyFill="1" applyBorder="1" applyAlignment="1">
      <alignment horizontal="right" vertical="center"/>
    </xf>
    <xf numFmtId="3" fontId="18" fillId="3" borderId="24" xfId="0" applyNumberFormat="1" applyFont="1" applyFill="1" applyBorder="1" applyAlignment="1">
      <alignment horizontal="right" vertical="center"/>
    </xf>
    <xf numFmtId="3" fontId="18" fillId="3" borderId="12" xfId="14" applyNumberFormat="1" applyFont="1" applyFill="1" applyBorder="1" applyAlignment="1">
      <alignment horizontal="right" vertical="center"/>
    </xf>
    <xf numFmtId="3" fontId="17" fillId="3" borderId="26" xfId="14" applyNumberFormat="1" applyFont="1" applyFill="1" applyBorder="1" applyAlignment="1">
      <alignment horizontal="right" vertical="center"/>
    </xf>
    <xf numFmtId="3" fontId="14" fillId="3" borderId="26" xfId="14" applyNumberFormat="1" applyFont="1" applyFill="1" applyBorder="1" applyAlignment="1">
      <alignment horizontal="right" vertical="center"/>
    </xf>
    <xf numFmtId="3" fontId="24" fillId="3" borderId="26" xfId="14" applyNumberFormat="1" applyFont="1" applyFill="1" applyBorder="1" applyAlignment="1">
      <alignment horizontal="right" vertical="center"/>
    </xf>
    <xf numFmtId="3" fontId="24" fillId="3" borderId="22" xfId="14" applyNumberFormat="1" applyFont="1" applyFill="1" applyBorder="1" applyAlignment="1">
      <alignment horizontal="right" vertical="center"/>
    </xf>
    <xf numFmtId="3" fontId="17" fillId="3" borderId="22" xfId="14" applyNumberFormat="1" applyFont="1" applyFill="1" applyBorder="1" applyAlignment="1">
      <alignment horizontal="right" vertical="center"/>
    </xf>
    <xf numFmtId="3" fontId="17" fillId="3" borderId="14" xfId="14" applyNumberFormat="1" applyFont="1" applyFill="1" applyBorder="1" applyAlignment="1">
      <alignment vertical="center"/>
    </xf>
    <xf numFmtId="3" fontId="25" fillId="3" borderId="18" xfId="14" applyNumberFormat="1" applyFont="1" applyFill="1" applyBorder="1" applyAlignment="1">
      <alignment horizontal="right" vertical="center"/>
    </xf>
    <xf numFmtId="3" fontId="17" fillId="3" borderId="28" xfId="14" applyNumberFormat="1" applyFont="1" applyFill="1" applyBorder="1" applyAlignment="1">
      <alignment horizontal="right" vertical="center"/>
    </xf>
    <xf numFmtId="3" fontId="24" fillId="3" borderId="12" xfId="14" applyNumberFormat="1" applyFont="1" applyFill="1" applyBorder="1" applyAlignment="1">
      <alignment vertical="center"/>
    </xf>
    <xf numFmtId="3" fontId="24" fillId="3" borderId="12" xfId="14" applyNumberFormat="1" applyFont="1" applyFill="1" applyBorder="1" applyAlignment="1">
      <alignment horizontal="right" vertical="center"/>
    </xf>
    <xf numFmtId="3" fontId="17" fillId="3" borderId="12" xfId="14" applyNumberFormat="1" applyFont="1" applyFill="1" applyBorder="1" applyAlignment="1">
      <alignment vertical="center"/>
    </xf>
    <xf numFmtId="3" fontId="24" fillId="3" borderId="25" xfId="14" applyNumberFormat="1" applyFont="1" applyFill="1" applyBorder="1" applyAlignment="1">
      <alignment horizontal="right" vertical="center"/>
    </xf>
    <xf numFmtId="3" fontId="14" fillId="3" borderId="11" xfId="14" applyNumberFormat="1" applyFont="1" applyFill="1" applyBorder="1" applyAlignment="1">
      <alignment horizontal="right" vertical="center"/>
    </xf>
    <xf numFmtId="3" fontId="17" fillId="3" borderId="18" xfId="14" applyNumberFormat="1" applyFont="1" applyFill="1" applyBorder="1" applyAlignment="1">
      <alignment vertical="center"/>
    </xf>
    <xf numFmtId="3" fontId="17" fillId="3" borderId="21" xfId="14" applyNumberFormat="1" applyFont="1" applyFill="1" applyBorder="1" applyAlignment="1">
      <alignment vertical="center"/>
    </xf>
    <xf numFmtId="3" fontId="17" fillId="3" borderId="25" xfId="14" applyNumberFormat="1" applyFont="1" applyFill="1" applyBorder="1" applyAlignment="1">
      <alignment vertical="center"/>
    </xf>
    <xf numFmtId="3" fontId="17" fillId="3" borderId="22" xfId="14" applyNumberFormat="1" applyFont="1" applyFill="1" applyBorder="1" applyAlignment="1">
      <alignment vertical="center"/>
    </xf>
    <xf numFmtId="3" fontId="18" fillId="6" borderId="48" xfId="0" applyNumberFormat="1" applyFont="1" applyFill="1" applyBorder="1" applyAlignment="1">
      <alignment horizontal="right" vertical="center"/>
    </xf>
    <xf numFmtId="169" fontId="12" fillId="0" borderId="0" xfId="1" applyNumberFormat="1" applyFont="1" applyAlignment="1">
      <alignment vertical="center"/>
    </xf>
    <xf numFmtId="0" fontId="17" fillId="0" borderId="19" xfId="14" applyFont="1" applyBorder="1" applyAlignment="1">
      <alignment horizontal="center" vertical="center" wrapText="1"/>
    </xf>
    <xf numFmtId="165" fontId="14" fillId="0" borderId="12" xfId="1" applyNumberFormat="1" applyFont="1" applyBorder="1" applyAlignment="1">
      <alignment vertical="center"/>
    </xf>
    <xf numFmtId="165" fontId="14" fillId="0" borderId="12" xfId="1" applyNumberFormat="1" applyFont="1" applyBorder="1" applyAlignment="1">
      <alignment horizontal="right" vertical="center"/>
    </xf>
    <xf numFmtId="0" fontId="24" fillId="0" borderId="15" xfId="14" applyFont="1" applyBorder="1" applyAlignment="1">
      <alignment vertical="center" wrapText="1"/>
    </xf>
    <xf numFmtId="4" fontId="17" fillId="0" borderId="45" xfId="20" applyNumberFormat="1" applyFont="1" applyBorder="1" applyAlignment="1">
      <alignment vertical="center"/>
    </xf>
    <xf numFmtId="166" fontId="17" fillId="0" borderId="1" xfId="20" applyNumberFormat="1" applyFont="1" applyBorder="1" applyAlignment="1">
      <alignment horizontal="right" vertical="center"/>
    </xf>
    <xf numFmtId="166" fontId="17" fillId="0" borderId="45" xfId="20" applyNumberFormat="1" applyFont="1" applyBorder="1" applyAlignment="1">
      <alignment horizontal="right" vertical="center" wrapText="1"/>
    </xf>
    <xf numFmtId="4" fontId="14" fillId="0" borderId="0" xfId="15" applyNumberFormat="1" applyFont="1" applyAlignment="1">
      <alignment horizontal="right"/>
    </xf>
    <xf numFmtId="4" fontId="16" fillId="0" borderId="0" xfId="14" applyNumberFormat="1" applyFont="1" applyAlignment="1">
      <alignment horizontal="right"/>
    </xf>
    <xf numFmtId="4" fontId="17" fillId="0" borderId="45" xfId="14" applyNumberFormat="1" applyFont="1" applyBorder="1" applyAlignment="1">
      <alignment horizontal="right" vertical="center" wrapText="1"/>
    </xf>
    <xf numFmtId="4" fontId="24" fillId="0" borderId="41" xfId="14" applyNumberFormat="1" applyFont="1" applyBorder="1" applyAlignment="1">
      <alignment horizontal="right" vertical="center" wrapText="1"/>
    </xf>
    <xf numFmtId="4" fontId="17" fillId="0" borderId="41" xfId="15" applyNumberFormat="1" applyFont="1" applyBorder="1" applyAlignment="1">
      <alignment horizontal="right" vertical="center" wrapText="1"/>
    </xf>
    <xf numFmtId="4" fontId="17" fillId="0" borderId="41" xfId="14" applyNumberFormat="1" applyFont="1" applyBorder="1" applyAlignment="1">
      <alignment horizontal="right" vertical="center" wrapText="1"/>
    </xf>
    <xf numFmtId="4" fontId="17" fillId="6" borderId="16" xfId="14" applyNumberFormat="1" applyFont="1" applyFill="1" applyBorder="1" applyAlignment="1">
      <alignment horizontal="right" vertical="center" wrapText="1"/>
    </xf>
    <xf numFmtId="4" fontId="13" fillId="0" borderId="0" xfId="14" applyNumberFormat="1" applyFont="1" applyAlignment="1">
      <alignment horizontal="right" wrapText="1"/>
    </xf>
    <xf numFmtId="4" fontId="46" fillId="0" borderId="0" xfId="0" applyNumberFormat="1" applyFont="1"/>
    <xf numFmtId="0" fontId="13" fillId="0" borderId="0" xfId="1" applyFont="1" applyAlignment="1">
      <alignment vertical="center"/>
    </xf>
    <xf numFmtId="0" fontId="13" fillId="0" borderId="0" xfId="1" applyFont="1"/>
    <xf numFmtId="0" fontId="35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19" fillId="0" borderId="0" xfId="0" applyFont="1" applyAlignment="1">
      <alignment horizontal="left" vertical="center" wrapText="1"/>
    </xf>
    <xf numFmtId="1" fontId="17" fillId="6" borderId="54" xfId="15" applyNumberFormat="1" applyFont="1" applyFill="1" applyBorder="1" applyAlignment="1">
      <alignment horizontal="center" vertical="center" wrapText="1"/>
    </xf>
    <xf numFmtId="1" fontId="17" fillId="6" borderId="21" xfId="15" applyNumberFormat="1" applyFont="1" applyFill="1" applyBorder="1" applyAlignment="1">
      <alignment horizontal="center" vertical="center" wrapText="1"/>
    </xf>
    <xf numFmtId="0" fontId="17" fillId="6" borderId="53" xfId="1" applyFont="1" applyFill="1" applyBorder="1" applyAlignment="1">
      <alignment horizontal="center" vertical="center"/>
    </xf>
    <xf numFmtId="0" fontId="17" fillId="6" borderId="33" xfId="1" applyFont="1" applyFill="1" applyBorder="1" applyAlignment="1">
      <alignment horizontal="center" vertical="center"/>
    </xf>
    <xf numFmtId="1" fontId="17" fillId="6" borderId="69" xfId="15" applyNumberFormat="1" applyFont="1" applyFill="1" applyBorder="1" applyAlignment="1">
      <alignment horizontal="center" vertical="center" wrapText="1"/>
    </xf>
    <xf numFmtId="3" fontId="17" fillId="3" borderId="40" xfId="1" applyNumberFormat="1" applyFont="1" applyFill="1" applyBorder="1" applyAlignment="1">
      <alignment horizontal="center" vertical="center" wrapText="1"/>
    </xf>
    <xf numFmtId="3" fontId="17" fillId="3" borderId="61" xfId="1" applyNumberFormat="1" applyFont="1" applyFill="1" applyBorder="1" applyAlignment="1">
      <alignment horizontal="center" vertical="center" wrapText="1"/>
    </xf>
    <xf numFmtId="165" fontId="12" fillId="6" borderId="40" xfId="1" applyNumberFormat="1" applyFont="1" applyFill="1" applyBorder="1" applyAlignment="1">
      <alignment horizontal="center" vertical="center" wrapText="1"/>
    </xf>
    <xf numFmtId="165" fontId="12" fillId="6" borderId="61" xfId="1" applyNumberFormat="1" applyFont="1" applyFill="1" applyBorder="1" applyAlignment="1">
      <alignment horizontal="center" vertical="center" wrapText="1"/>
    </xf>
    <xf numFmtId="0" fontId="18" fillId="8" borderId="54" xfId="0" applyFont="1" applyFill="1" applyBorder="1" applyAlignment="1">
      <alignment horizontal="left" vertical="center" wrapText="1"/>
    </xf>
    <xf numFmtId="0" fontId="18" fillId="8" borderId="69" xfId="0" applyFont="1" applyFill="1" applyBorder="1" applyAlignment="1">
      <alignment horizontal="left" vertical="center" wrapText="1"/>
    </xf>
    <xf numFmtId="0" fontId="18" fillId="8" borderId="21" xfId="0" applyFont="1" applyFill="1" applyBorder="1" applyAlignment="1">
      <alignment horizontal="left" vertical="center" wrapText="1"/>
    </xf>
    <xf numFmtId="0" fontId="18" fillId="7" borderId="54" xfId="0" applyFont="1" applyFill="1" applyBorder="1" applyAlignment="1">
      <alignment horizontal="left" vertical="center" wrapText="1"/>
    </xf>
    <xf numFmtId="0" fontId="18" fillId="7" borderId="69" xfId="0" applyFont="1" applyFill="1" applyBorder="1" applyAlignment="1">
      <alignment horizontal="left" vertical="center" wrapText="1"/>
    </xf>
    <xf numFmtId="0" fontId="18" fillId="7" borderId="21" xfId="0" applyFont="1" applyFill="1" applyBorder="1" applyAlignment="1">
      <alignment horizontal="left" vertical="center" wrapText="1"/>
    </xf>
    <xf numFmtId="0" fontId="17" fillId="6" borderId="40" xfId="1" applyFont="1" applyFill="1" applyBorder="1" applyAlignment="1">
      <alignment horizontal="center" vertical="center"/>
    </xf>
    <xf numFmtId="0" fontId="17" fillId="6" borderId="61" xfId="1" applyFont="1" applyFill="1" applyBorder="1" applyAlignment="1">
      <alignment horizontal="center" vertical="center"/>
    </xf>
    <xf numFmtId="0" fontId="12" fillId="6" borderId="40" xfId="1" applyFont="1" applyFill="1" applyBorder="1" applyAlignment="1">
      <alignment horizontal="center" vertical="center" wrapText="1"/>
    </xf>
    <xf numFmtId="0" fontId="12" fillId="6" borderId="61" xfId="1" applyFont="1" applyFill="1" applyBorder="1" applyAlignment="1">
      <alignment horizontal="center" vertical="center" wrapText="1"/>
    </xf>
    <xf numFmtId="0" fontId="17" fillId="8" borderId="54" xfId="0" applyFont="1" applyFill="1" applyBorder="1" applyAlignment="1">
      <alignment vertical="center" wrapText="1"/>
    </xf>
    <xf numFmtId="0" fontId="17" fillId="8" borderId="69" xfId="0" applyFont="1" applyFill="1" applyBorder="1" applyAlignment="1">
      <alignment vertical="center" wrapText="1"/>
    </xf>
    <xf numFmtId="0" fontId="17" fillId="8" borderId="21" xfId="0" applyFont="1" applyFill="1" applyBorder="1" applyAlignment="1">
      <alignment vertical="center" wrapText="1"/>
    </xf>
    <xf numFmtId="0" fontId="17" fillId="7" borderId="54" xfId="0" applyFont="1" applyFill="1" applyBorder="1" applyAlignment="1">
      <alignment vertical="center" wrapText="1"/>
    </xf>
    <xf numFmtId="0" fontId="17" fillId="7" borderId="69" xfId="0" applyFont="1" applyFill="1" applyBorder="1" applyAlignment="1">
      <alignment vertical="center" wrapText="1"/>
    </xf>
    <xf numFmtId="0" fontId="17" fillId="7" borderId="21" xfId="0" applyFont="1" applyFill="1" applyBorder="1" applyAlignment="1">
      <alignment vertical="center" wrapText="1"/>
    </xf>
    <xf numFmtId="3" fontId="17" fillId="6" borderId="76" xfId="1" applyNumberFormat="1" applyFont="1" applyFill="1" applyBorder="1" applyAlignment="1">
      <alignment horizontal="center" vertical="center" wrapText="1"/>
    </xf>
    <xf numFmtId="3" fontId="17" fillId="6" borderId="78" xfId="1" applyNumberFormat="1" applyFont="1" applyFill="1" applyBorder="1" applyAlignment="1">
      <alignment horizontal="center" vertical="center" wrapText="1"/>
    </xf>
    <xf numFmtId="49" fontId="15" fillId="0" borderId="0" xfId="2" applyNumberFormat="1" applyFont="1" applyAlignment="1">
      <alignment horizontal="left" vertical="center"/>
    </xf>
    <xf numFmtId="49" fontId="22" fillId="0" borderId="0" xfId="2" applyNumberFormat="1" applyFont="1" applyAlignment="1">
      <alignment horizontal="left" vertical="center"/>
    </xf>
    <xf numFmtId="0" fontId="17" fillId="6" borderId="32" xfId="1" applyFont="1" applyFill="1" applyBorder="1" applyAlignment="1">
      <alignment horizontal="center" vertical="center"/>
    </xf>
    <xf numFmtId="0" fontId="17" fillId="6" borderId="31" xfId="1" applyFont="1" applyFill="1" applyBorder="1" applyAlignment="1">
      <alignment horizontal="center" vertical="center"/>
    </xf>
    <xf numFmtId="3" fontId="18" fillId="6" borderId="3" xfId="1" applyNumberFormat="1" applyFont="1" applyFill="1" applyBorder="1" applyAlignment="1">
      <alignment horizontal="center" vertical="center" wrapText="1"/>
    </xf>
    <xf numFmtId="3" fontId="18" fillId="6" borderId="31" xfId="1" applyNumberFormat="1" applyFont="1" applyFill="1" applyBorder="1" applyAlignment="1">
      <alignment horizontal="center" vertical="center" wrapText="1"/>
    </xf>
    <xf numFmtId="3" fontId="18" fillId="6" borderId="17" xfId="1" applyNumberFormat="1" applyFont="1" applyFill="1" applyBorder="1" applyAlignment="1">
      <alignment horizontal="center" vertical="center" wrapText="1"/>
    </xf>
    <xf numFmtId="3" fontId="18" fillId="6" borderId="22" xfId="1" applyNumberFormat="1" applyFont="1" applyFill="1" applyBorder="1" applyAlignment="1">
      <alignment horizontal="center" vertical="center" wrapText="1"/>
    </xf>
    <xf numFmtId="3" fontId="17" fillId="3" borderId="40" xfId="0" applyNumberFormat="1" applyFont="1" applyFill="1" applyBorder="1" applyAlignment="1">
      <alignment horizontal="center" vertical="center" wrapText="1"/>
    </xf>
    <xf numFmtId="3" fontId="17" fillId="3" borderId="28" xfId="0" applyNumberFormat="1" applyFont="1" applyFill="1" applyBorder="1" applyAlignment="1">
      <alignment horizontal="center" vertical="center" wrapText="1"/>
    </xf>
    <xf numFmtId="3" fontId="17" fillId="3" borderId="61" xfId="0" applyNumberFormat="1" applyFont="1" applyFill="1" applyBorder="1" applyAlignment="1">
      <alignment horizontal="center" vertical="center" wrapText="1"/>
    </xf>
    <xf numFmtId="3" fontId="17" fillId="6" borderId="40" xfId="1" applyNumberFormat="1" applyFont="1" applyFill="1" applyBorder="1" applyAlignment="1">
      <alignment horizontal="center" vertical="center" wrapText="1"/>
    </xf>
    <xf numFmtId="3" fontId="17" fillId="6" borderId="28" xfId="1" applyNumberFormat="1" applyFont="1" applyFill="1" applyBorder="1" applyAlignment="1">
      <alignment horizontal="center" vertical="center" wrapText="1"/>
    </xf>
    <xf numFmtId="3" fontId="17" fillId="6" borderId="61" xfId="1" applyNumberFormat="1" applyFont="1" applyFill="1" applyBorder="1" applyAlignment="1">
      <alignment horizontal="center" vertical="center" wrapText="1"/>
    </xf>
    <xf numFmtId="3" fontId="18" fillId="3" borderId="3" xfId="1" applyNumberFormat="1" applyFont="1" applyFill="1" applyBorder="1" applyAlignment="1">
      <alignment horizontal="center" vertical="center" wrapText="1"/>
    </xf>
    <xf numFmtId="3" fontId="18" fillId="3" borderId="31" xfId="1" applyNumberFormat="1" applyFont="1" applyFill="1" applyBorder="1" applyAlignment="1">
      <alignment horizontal="center" vertical="center" wrapText="1"/>
    </xf>
    <xf numFmtId="3" fontId="18" fillId="3" borderId="9" xfId="1" applyNumberFormat="1" applyFont="1" applyFill="1" applyBorder="1" applyAlignment="1">
      <alignment horizontal="center" vertical="center" wrapText="1"/>
    </xf>
    <xf numFmtId="3" fontId="18" fillId="3" borderId="30" xfId="1" applyNumberFormat="1" applyFont="1" applyFill="1" applyBorder="1" applyAlignment="1">
      <alignment horizontal="center" vertical="center" wrapText="1"/>
    </xf>
    <xf numFmtId="3" fontId="18" fillId="3" borderId="43" xfId="0" applyNumberFormat="1" applyFont="1" applyFill="1" applyBorder="1" applyAlignment="1">
      <alignment horizontal="center" vertical="center" wrapText="1"/>
    </xf>
    <xf numFmtId="3" fontId="18" fillId="3" borderId="44" xfId="0" applyNumberFormat="1" applyFont="1" applyFill="1" applyBorder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0" fontId="17" fillId="6" borderId="40" xfId="1" applyFont="1" applyFill="1" applyBorder="1" applyAlignment="1">
      <alignment horizontal="center" vertical="center" wrapText="1"/>
    </xf>
    <xf numFmtId="0" fontId="17" fillId="6" borderId="28" xfId="1" applyFont="1" applyFill="1" applyBorder="1" applyAlignment="1">
      <alignment horizontal="center" vertical="center" wrapText="1"/>
    </xf>
    <xf numFmtId="0" fontId="17" fillId="6" borderId="61" xfId="1" applyFont="1" applyFill="1" applyBorder="1" applyAlignment="1">
      <alignment horizontal="center" vertical="center" wrapText="1"/>
    </xf>
    <xf numFmtId="0" fontId="17" fillId="0" borderId="0" xfId="1" applyFont="1" applyAlignment="1">
      <alignment vertical="center" wrapText="1"/>
    </xf>
    <xf numFmtId="0" fontId="17" fillId="6" borderId="54" xfId="0" applyFont="1" applyFill="1" applyBorder="1" applyAlignment="1">
      <alignment horizontal="center" vertical="center" wrapText="1"/>
    </xf>
    <xf numFmtId="0" fontId="17" fillId="6" borderId="69" xfId="0" applyFont="1" applyFill="1" applyBorder="1" applyAlignment="1">
      <alignment horizontal="center" vertical="center" wrapText="1"/>
    </xf>
    <xf numFmtId="0" fontId="17" fillId="6" borderId="21" xfId="0" applyFont="1" applyFill="1" applyBorder="1" applyAlignment="1">
      <alignment horizontal="center" vertical="center" wrapText="1"/>
    </xf>
    <xf numFmtId="3" fontId="17" fillId="3" borderId="54" xfId="1" applyNumberFormat="1" applyFont="1" applyFill="1" applyBorder="1" applyAlignment="1">
      <alignment horizontal="center" vertical="center" wrapText="1"/>
    </xf>
    <xf numFmtId="3" fontId="17" fillId="3" borderId="69" xfId="1" applyNumberFormat="1" applyFont="1" applyFill="1" applyBorder="1" applyAlignment="1">
      <alignment horizontal="center" vertical="center" wrapText="1"/>
    </xf>
    <xf numFmtId="3" fontId="17" fillId="3" borderId="21" xfId="1" applyNumberFormat="1" applyFont="1" applyFill="1" applyBorder="1" applyAlignment="1">
      <alignment horizontal="center" vertical="center" wrapText="1"/>
    </xf>
    <xf numFmtId="3" fontId="17" fillId="0" borderId="0" xfId="1" applyNumberFormat="1" applyFont="1" applyAlignment="1">
      <alignment vertical="center" wrapText="1"/>
    </xf>
    <xf numFmtId="3" fontId="17" fillId="6" borderId="54" xfId="0" applyNumberFormat="1" applyFont="1" applyFill="1" applyBorder="1" applyAlignment="1">
      <alignment horizontal="center" vertical="center" wrapText="1"/>
    </xf>
    <xf numFmtId="3" fontId="17" fillId="6" borderId="69" xfId="0" applyNumberFormat="1" applyFont="1" applyFill="1" applyBorder="1" applyAlignment="1">
      <alignment horizontal="center" vertical="center" wrapText="1"/>
    </xf>
    <xf numFmtId="3" fontId="17" fillId="6" borderId="21" xfId="0" applyNumberFormat="1" applyFont="1" applyFill="1" applyBorder="1" applyAlignment="1">
      <alignment horizontal="center" vertical="center" wrapText="1"/>
    </xf>
    <xf numFmtId="0" fontId="17" fillId="6" borderId="39" xfId="1" applyFont="1" applyFill="1" applyBorder="1" applyAlignment="1">
      <alignment horizontal="center" vertical="center"/>
    </xf>
    <xf numFmtId="0" fontId="17" fillId="6" borderId="34" xfId="1" applyFont="1" applyFill="1" applyBorder="1" applyAlignment="1">
      <alignment horizontal="center" vertical="center"/>
    </xf>
    <xf numFmtId="0" fontId="18" fillId="0" borderId="54" xfId="0" applyFont="1" applyBorder="1" applyAlignment="1">
      <alignment vertical="center" wrapText="1"/>
    </xf>
    <xf numFmtId="0" fontId="18" fillId="0" borderId="69" xfId="0" applyFont="1" applyBorder="1" applyAlignment="1">
      <alignment vertical="center" wrapText="1"/>
    </xf>
    <xf numFmtId="0" fontId="24" fillId="0" borderId="3" xfId="0" applyFont="1" applyBorder="1" applyAlignment="1">
      <alignment vertical="top"/>
    </xf>
    <xf numFmtId="0" fontId="24" fillId="0" borderId="31" xfId="0" applyFont="1" applyBorder="1" applyAlignment="1">
      <alignment vertical="top"/>
    </xf>
    <xf numFmtId="3" fontId="18" fillId="0" borderId="40" xfId="0" applyNumberFormat="1" applyFont="1" applyBorder="1" applyAlignment="1">
      <alignment vertical="center" wrapText="1"/>
    </xf>
    <xf numFmtId="3" fontId="18" fillId="0" borderId="28" xfId="0" applyNumberFormat="1" applyFont="1" applyBorder="1" applyAlignment="1">
      <alignment vertical="center" wrapText="1"/>
    </xf>
    <xf numFmtId="3" fontId="18" fillId="0" borderId="61" xfId="0" applyNumberFormat="1" applyFont="1" applyBorder="1" applyAlignment="1">
      <alignment vertical="center" wrapText="1"/>
    </xf>
    <xf numFmtId="14" fontId="18" fillId="0" borderId="40" xfId="0" applyNumberFormat="1" applyFont="1" applyBorder="1" applyAlignment="1">
      <alignment horizontal="center" vertical="center" wrapText="1"/>
    </xf>
    <xf numFmtId="14" fontId="18" fillId="0" borderId="28" xfId="0" applyNumberFormat="1" applyFont="1" applyBorder="1" applyAlignment="1">
      <alignment horizontal="center" vertical="center" wrapText="1"/>
    </xf>
    <xf numFmtId="14" fontId="18" fillId="0" borderId="61" xfId="0" applyNumberFormat="1" applyFont="1" applyBorder="1" applyAlignment="1">
      <alignment horizontal="center" vertical="center" wrapText="1"/>
    </xf>
    <xf numFmtId="0" fontId="24" fillId="0" borderId="4" xfId="0" applyFont="1" applyBorder="1" applyAlignment="1">
      <alignment vertical="top"/>
    </xf>
    <xf numFmtId="3" fontId="17" fillId="0" borderId="40" xfId="0" applyNumberFormat="1" applyFont="1" applyBorder="1" applyAlignment="1">
      <alignment horizontal="center" vertical="center"/>
    </xf>
    <xf numFmtId="3" fontId="17" fillId="0" borderId="28" xfId="0" applyNumberFormat="1" applyFont="1" applyBorder="1" applyAlignment="1">
      <alignment horizontal="center" vertical="center"/>
    </xf>
    <xf numFmtId="3" fontId="17" fillId="0" borderId="61" xfId="0" applyNumberFormat="1" applyFont="1" applyBorder="1" applyAlignment="1">
      <alignment horizontal="center" vertical="center"/>
    </xf>
    <xf numFmtId="14" fontId="17" fillId="6" borderId="39" xfId="1" applyNumberFormat="1" applyFont="1" applyFill="1" applyBorder="1" applyAlignment="1">
      <alignment horizontal="center" vertical="center" wrapText="1"/>
    </xf>
    <xf numFmtId="14" fontId="17" fillId="6" borderId="27" xfId="1" applyNumberFormat="1" applyFont="1" applyFill="1" applyBorder="1" applyAlignment="1">
      <alignment horizontal="center" vertical="center" wrapText="1"/>
    </xf>
    <xf numFmtId="0" fontId="14" fillId="0" borderId="47" xfId="0" applyFont="1" applyBorder="1" applyAlignment="1">
      <alignment vertical="center" wrapText="1"/>
    </xf>
    <xf numFmtId="0" fontId="14" fillId="0" borderId="22" xfId="0" applyFont="1" applyBorder="1" applyAlignment="1">
      <alignment vertical="center" wrapText="1"/>
    </xf>
    <xf numFmtId="0" fontId="24" fillId="0" borderId="3" xfId="0" applyFont="1" applyBorder="1" applyAlignment="1">
      <alignment horizontal="center" vertical="top"/>
    </xf>
    <xf numFmtId="0" fontId="24" fillId="0" borderId="4" xfId="0" applyFont="1" applyBorder="1" applyAlignment="1">
      <alignment horizontal="center" vertical="top"/>
    </xf>
    <xf numFmtId="0" fontId="24" fillId="0" borderId="13" xfId="0" applyFont="1" applyBorder="1" applyAlignment="1">
      <alignment horizontal="center" vertical="top"/>
    </xf>
    <xf numFmtId="0" fontId="17" fillId="0" borderId="56" xfId="0" applyFont="1" applyBorder="1" applyAlignment="1">
      <alignment horizontal="left" vertical="center" wrapText="1"/>
    </xf>
    <xf numFmtId="0" fontId="17" fillId="0" borderId="65" xfId="0" applyFont="1" applyBorder="1" applyAlignment="1">
      <alignment horizontal="left" vertical="center" wrapText="1"/>
    </xf>
    <xf numFmtId="0" fontId="17" fillId="0" borderId="17" xfId="14" applyFont="1" applyBorder="1" applyAlignment="1">
      <alignment vertical="center" wrapText="1"/>
    </xf>
    <xf numFmtId="0" fontId="17" fillId="0" borderId="22" xfId="14" applyFont="1" applyBorder="1" applyAlignment="1">
      <alignment vertical="center" wrapText="1"/>
    </xf>
    <xf numFmtId="0" fontId="17" fillId="0" borderId="37" xfId="14" applyFont="1" applyBorder="1" applyAlignment="1">
      <alignment vertical="center" wrapText="1"/>
    </xf>
    <xf numFmtId="0" fontId="17" fillId="0" borderId="26" xfId="14" applyFont="1" applyBorder="1" applyAlignment="1">
      <alignment vertical="center" wrapText="1"/>
    </xf>
    <xf numFmtId="0" fontId="17" fillId="6" borderId="36" xfId="14" applyFont="1" applyFill="1" applyBorder="1" applyAlignment="1">
      <alignment vertical="center"/>
    </xf>
    <xf numFmtId="0" fontId="17" fillId="6" borderId="24" xfId="14" applyFont="1" applyFill="1" applyBorder="1" applyAlignment="1">
      <alignment vertical="center"/>
    </xf>
    <xf numFmtId="0" fontId="17" fillId="0" borderId="3" xfId="14" applyFont="1" applyBorder="1" applyAlignment="1">
      <alignment horizontal="center" vertical="center"/>
    </xf>
    <xf numFmtId="0" fontId="17" fillId="0" borderId="4" xfId="14" applyFont="1" applyBorder="1" applyAlignment="1">
      <alignment horizontal="center" vertical="center"/>
    </xf>
    <xf numFmtId="0" fontId="17" fillId="0" borderId="75" xfId="14" applyFont="1" applyBorder="1" applyAlignment="1">
      <alignment vertical="center" wrapText="1"/>
    </xf>
    <xf numFmtId="0" fontId="17" fillId="0" borderId="21" xfId="14" applyFont="1" applyBorder="1" applyAlignment="1">
      <alignment vertical="center" wrapText="1"/>
    </xf>
    <xf numFmtId="0" fontId="21" fillId="0" borderId="0" xfId="14" applyFont="1" applyAlignment="1">
      <alignment horizontal="center" wrapText="1"/>
    </xf>
    <xf numFmtId="0" fontId="33" fillId="0" borderId="0" xfId="0" applyFont="1"/>
    <xf numFmtId="0" fontId="14" fillId="6" borderId="32" xfId="15" applyFont="1" applyFill="1" applyBorder="1" applyAlignment="1">
      <alignment horizontal="center" vertical="center"/>
    </xf>
    <xf numFmtId="0" fontId="14" fillId="6" borderId="31" xfId="15" applyFont="1" applyFill="1" applyBorder="1" applyAlignment="1">
      <alignment horizontal="center" vertical="center"/>
    </xf>
    <xf numFmtId="166" fontId="12" fillId="6" borderId="32" xfId="15" applyNumberFormat="1" applyFont="1" applyFill="1" applyBorder="1" applyAlignment="1">
      <alignment horizontal="center" vertical="center" wrapText="1"/>
    </xf>
    <xf numFmtId="166" fontId="12" fillId="6" borderId="31" xfId="15" applyNumberFormat="1" applyFont="1" applyFill="1" applyBorder="1" applyAlignment="1">
      <alignment horizontal="center" vertical="center" wrapText="1"/>
    </xf>
    <xf numFmtId="166" fontId="12" fillId="6" borderId="39" xfId="15" applyNumberFormat="1" applyFont="1" applyFill="1" applyBorder="1" applyAlignment="1">
      <alignment horizontal="center" vertical="center" wrapText="1"/>
    </xf>
    <xf numFmtId="166" fontId="12" fillId="6" borderId="34" xfId="15" applyNumberFormat="1" applyFont="1" applyFill="1" applyBorder="1" applyAlignment="1">
      <alignment horizontal="center" vertical="center" wrapText="1"/>
    </xf>
    <xf numFmtId="0" fontId="14" fillId="6" borderId="74" xfId="15" applyFont="1" applyFill="1" applyBorder="1" applyAlignment="1">
      <alignment horizontal="center" vertical="center"/>
    </xf>
    <xf numFmtId="0" fontId="14" fillId="6" borderId="39" xfId="15" applyFont="1" applyFill="1" applyBorder="1" applyAlignment="1">
      <alignment horizontal="center" vertical="center"/>
    </xf>
    <xf numFmtId="0" fontId="14" fillId="6" borderId="68" xfId="15" applyFont="1" applyFill="1" applyBorder="1" applyAlignment="1">
      <alignment horizontal="center" vertical="center"/>
    </xf>
    <xf numFmtId="0" fontId="14" fillId="6" borderId="34" xfId="15" applyFont="1" applyFill="1" applyBorder="1" applyAlignment="1">
      <alignment horizontal="center" vertical="center"/>
    </xf>
    <xf numFmtId="4" fontId="17" fillId="3" borderId="40" xfId="15" applyNumberFormat="1" applyFont="1" applyFill="1" applyBorder="1" applyAlignment="1">
      <alignment horizontal="center" vertical="center" wrapText="1"/>
    </xf>
    <xf numFmtId="4" fontId="17" fillId="3" borderId="61" xfId="15" applyNumberFormat="1" applyFont="1" applyFill="1" applyBorder="1" applyAlignment="1">
      <alignment horizontal="center" vertical="center" wrapText="1"/>
    </xf>
    <xf numFmtId="0" fontId="24" fillId="0" borderId="9" xfId="14" applyFont="1" applyBorder="1" applyAlignment="1">
      <alignment horizontal="center" vertical="top"/>
    </xf>
    <xf numFmtId="0" fontId="24" fillId="0" borderId="29" xfId="14" applyFont="1" applyBorder="1" applyAlignment="1">
      <alignment horizontal="center" vertical="top"/>
    </xf>
    <xf numFmtId="0" fontId="24" fillId="0" borderId="15" xfId="14" applyFont="1" applyBorder="1" applyAlignment="1">
      <alignment horizontal="center" vertical="top"/>
    </xf>
    <xf numFmtId="0" fontId="17" fillId="0" borderId="13" xfId="14" applyFont="1" applyBorder="1" applyAlignment="1">
      <alignment horizontal="center" vertical="center"/>
    </xf>
    <xf numFmtId="0" fontId="17" fillId="0" borderId="75" xfId="14" applyFont="1" applyBorder="1" applyAlignment="1">
      <alignment vertical="center"/>
    </xf>
    <xf numFmtId="0" fontId="17" fillId="0" borderId="21" xfId="14" applyFont="1" applyBorder="1" applyAlignment="1">
      <alignment vertical="center"/>
    </xf>
    <xf numFmtId="0" fontId="17" fillId="0" borderId="38" xfId="14" applyFont="1" applyBorder="1" applyAlignment="1">
      <alignment vertical="center"/>
    </xf>
    <xf numFmtId="0" fontId="17" fillId="0" borderId="25" xfId="14" applyFont="1" applyBorder="1" applyAlignment="1">
      <alignment vertical="center"/>
    </xf>
    <xf numFmtId="0" fontId="17" fillId="0" borderId="32" xfId="14" applyFont="1" applyBorder="1" applyAlignment="1">
      <alignment horizontal="center" vertical="center"/>
    </xf>
    <xf numFmtId="0" fontId="24" fillId="0" borderId="9" xfId="14" applyFont="1" applyBorder="1" applyAlignment="1">
      <alignment vertical="top"/>
    </xf>
    <xf numFmtId="0" fontId="24" fillId="0" borderId="15" xfId="14" applyFont="1" applyBorder="1" applyAlignment="1">
      <alignment vertical="top"/>
    </xf>
    <xf numFmtId="0" fontId="17" fillId="0" borderId="17" xfId="14" applyFont="1" applyBorder="1" applyAlignment="1">
      <alignment vertical="center"/>
    </xf>
    <xf numFmtId="0" fontId="17" fillId="0" borderId="22" xfId="14" applyFont="1" applyBorder="1" applyAlignment="1">
      <alignment vertical="center"/>
    </xf>
    <xf numFmtId="0" fontId="17" fillId="5" borderId="3" xfId="14" applyFont="1" applyFill="1" applyBorder="1" applyAlignment="1">
      <alignment horizontal="center" vertical="center"/>
    </xf>
    <xf numFmtId="0" fontId="17" fillId="5" borderId="4" xfId="14" applyFont="1" applyFill="1" applyBorder="1" applyAlignment="1">
      <alignment horizontal="center" vertical="center"/>
    </xf>
    <xf numFmtId="0" fontId="17" fillId="5" borderId="75" xfId="14" applyFont="1" applyFill="1" applyBorder="1" applyAlignment="1">
      <alignment vertical="center" wrapText="1"/>
    </xf>
    <xf numFmtId="0" fontId="17" fillId="5" borderId="69" xfId="14" applyFont="1" applyFill="1" applyBorder="1" applyAlignment="1">
      <alignment vertical="center" wrapText="1"/>
    </xf>
    <xf numFmtId="0" fontId="17" fillId="5" borderId="17" xfId="14" applyFont="1" applyFill="1" applyBorder="1" applyAlignment="1">
      <alignment vertical="center" wrapText="1"/>
    </xf>
    <xf numFmtId="0" fontId="17" fillId="5" borderId="22" xfId="14" applyFont="1" applyFill="1" applyBorder="1" applyAlignment="1">
      <alignment vertical="center" wrapText="1"/>
    </xf>
    <xf numFmtId="0" fontId="17" fillId="5" borderId="73" xfId="14" applyFont="1" applyFill="1" applyBorder="1" applyAlignment="1">
      <alignment vertical="center" wrapText="1"/>
    </xf>
    <xf numFmtId="0" fontId="17" fillId="5" borderId="23" xfId="14" applyFont="1" applyFill="1" applyBorder="1" applyAlignment="1">
      <alignment vertical="center" wrapText="1"/>
    </xf>
    <xf numFmtId="0" fontId="17" fillId="5" borderId="70" xfId="14" applyFont="1" applyFill="1" applyBorder="1" applyAlignment="1">
      <alignment vertical="center" wrapText="1"/>
    </xf>
    <xf numFmtId="0" fontId="24" fillId="5" borderId="9" xfId="14" applyFont="1" applyFill="1" applyBorder="1" applyAlignment="1">
      <alignment horizontal="center" vertical="top" wrapText="1"/>
    </xf>
    <xf numFmtId="0" fontId="24" fillId="5" borderId="29" xfId="14" applyFont="1" applyFill="1" applyBorder="1" applyAlignment="1">
      <alignment horizontal="center" vertical="top" wrapText="1"/>
    </xf>
    <xf numFmtId="0" fontId="17" fillId="0" borderId="17" xfId="18" applyFont="1" applyBorder="1" applyAlignment="1">
      <alignment vertical="center"/>
    </xf>
    <xf numFmtId="0" fontId="17" fillId="0" borderId="22" xfId="18" applyFont="1" applyBorder="1" applyAlignment="1">
      <alignment vertical="center"/>
    </xf>
    <xf numFmtId="0" fontId="14" fillId="0" borderId="17" xfId="14" applyFont="1" applyBorder="1" applyAlignment="1">
      <alignment vertical="center" wrapText="1"/>
    </xf>
    <xf numFmtId="0" fontId="14" fillId="0" borderId="22" xfId="14" applyFont="1" applyBorder="1" applyAlignment="1">
      <alignment vertical="center" wrapText="1"/>
    </xf>
    <xf numFmtId="0" fontId="17" fillId="0" borderId="47" xfId="14" applyFont="1" applyBorder="1" applyAlignment="1">
      <alignment vertical="center" wrapText="1"/>
    </xf>
    <xf numFmtId="0" fontId="17" fillId="0" borderId="70" xfId="14" applyFont="1" applyBorder="1" applyAlignment="1">
      <alignment vertical="center" wrapText="1"/>
    </xf>
    <xf numFmtId="0" fontId="24" fillId="0" borderId="17" xfId="14" applyFont="1" applyBorder="1" applyAlignment="1">
      <alignment vertical="center" wrapText="1"/>
    </xf>
    <xf numFmtId="0" fontId="24" fillId="0" borderId="22" xfId="14" applyFont="1" applyBorder="1" applyAlignment="1">
      <alignment vertical="center" wrapText="1"/>
    </xf>
    <xf numFmtId="0" fontId="24" fillId="0" borderId="17" xfId="14" applyFont="1" applyBorder="1" applyAlignment="1">
      <alignment vertical="center"/>
    </xf>
    <xf numFmtId="0" fontId="24" fillId="0" borderId="22" xfId="14" applyFont="1" applyBorder="1" applyAlignment="1">
      <alignment vertical="center"/>
    </xf>
    <xf numFmtId="0" fontId="24" fillId="0" borderId="2" xfId="14" applyFont="1" applyBorder="1" applyAlignment="1">
      <alignment horizontal="right" vertical="top" wrapText="1"/>
    </xf>
    <xf numFmtId="0" fontId="24" fillId="0" borderId="70" xfId="14" applyFont="1" applyBorder="1" applyAlignment="1">
      <alignment vertical="center" wrapText="1"/>
    </xf>
    <xf numFmtId="0" fontId="17" fillId="0" borderId="54" xfId="14" applyFont="1" applyBorder="1" applyAlignment="1">
      <alignment vertical="center" wrapText="1"/>
    </xf>
    <xf numFmtId="0" fontId="17" fillId="0" borderId="69" xfId="14" applyFont="1" applyBorder="1" applyAlignment="1">
      <alignment vertical="center" wrapText="1"/>
    </xf>
    <xf numFmtId="0" fontId="24" fillId="0" borderId="17" xfId="14" applyFont="1" applyBorder="1" applyAlignment="1">
      <alignment horizontal="left" vertical="center" wrapText="1"/>
    </xf>
    <xf numFmtId="0" fontId="24" fillId="0" borderId="22" xfId="14" applyFont="1" applyBorder="1" applyAlignment="1">
      <alignment horizontal="left" vertical="center" wrapText="1"/>
    </xf>
    <xf numFmtId="0" fontId="17" fillId="0" borderId="47" xfId="14" applyFont="1" applyBorder="1" applyAlignment="1">
      <alignment vertical="center"/>
    </xf>
    <xf numFmtId="0" fontId="17" fillId="0" borderId="70" xfId="14" applyFont="1" applyBorder="1" applyAlignment="1">
      <alignment vertical="center"/>
    </xf>
    <xf numFmtId="0" fontId="14" fillId="0" borderId="3" xfId="14" applyFont="1" applyBorder="1" applyAlignment="1">
      <alignment horizontal="center" vertical="center"/>
    </xf>
    <xf numFmtId="0" fontId="14" fillId="0" borderId="13" xfId="14" applyFont="1" applyBorder="1" applyAlignment="1">
      <alignment horizontal="center" vertical="center"/>
    </xf>
    <xf numFmtId="0" fontId="14" fillId="0" borderId="4" xfId="14" applyFont="1" applyBorder="1" applyAlignment="1">
      <alignment horizontal="center" vertical="center"/>
    </xf>
    <xf numFmtId="0" fontId="24" fillId="0" borderId="29" xfId="14" applyFont="1" applyBorder="1" applyAlignment="1">
      <alignment vertical="top"/>
    </xf>
    <xf numFmtId="0" fontId="24" fillId="0" borderId="9" xfId="14" applyFont="1" applyBorder="1" applyAlignment="1">
      <alignment horizontal="center" vertical="top" wrapText="1"/>
    </xf>
    <xf numFmtId="0" fontId="24" fillId="0" borderId="29" xfId="14" applyFont="1" applyBorder="1" applyAlignment="1">
      <alignment horizontal="center" vertical="top" wrapText="1"/>
    </xf>
    <xf numFmtId="0" fontId="24" fillId="0" borderId="15" xfId="14" applyFont="1" applyBorder="1" applyAlignment="1">
      <alignment horizontal="center" vertical="top" wrapText="1"/>
    </xf>
    <xf numFmtId="0" fontId="24" fillId="0" borderId="9" xfId="14" applyFont="1" applyBorder="1" applyAlignment="1">
      <alignment vertical="top" wrapText="1"/>
    </xf>
    <xf numFmtId="0" fontId="24" fillId="0" borderId="29" xfId="14" applyFont="1" applyBorder="1" applyAlignment="1">
      <alignment vertical="top" wrapText="1"/>
    </xf>
    <xf numFmtId="0" fontId="24" fillId="0" borderId="15" xfId="14" applyFont="1" applyBorder="1" applyAlignment="1">
      <alignment vertical="top" wrapText="1"/>
    </xf>
    <xf numFmtId="0" fontId="17" fillId="0" borderId="38" xfId="14" applyFont="1" applyBorder="1" applyAlignment="1">
      <alignment vertical="center" wrapText="1"/>
    </xf>
    <xf numFmtId="0" fontId="17" fillId="0" borderId="25" xfId="14" applyFont="1" applyBorder="1" applyAlignment="1">
      <alignment vertical="center" wrapText="1"/>
    </xf>
    <xf numFmtId="4" fontId="12" fillId="0" borderId="0" xfId="14" applyNumberFormat="1" applyFont="1" applyAlignment="1">
      <alignment horizontal="center" vertical="center"/>
    </xf>
    <xf numFmtId="0" fontId="24" fillId="0" borderId="9" xfId="14" applyFont="1" applyBorder="1" applyAlignment="1">
      <alignment horizontal="left" vertical="top" wrapText="1"/>
    </xf>
    <xf numFmtId="0" fontId="24" fillId="0" borderId="29" xfId="14" applyFont="1" applyBorder="1" applyAlignment="1">
      <alignment horizontal="left" vertical="top" wrapText="1"/>
    </xf>
    <xf numFmtId="0" fontId="24" fillId="0" borderId="15" xfId="14" applyFont="1" applyBorder="1" applyAlignment="1">
      <alignment horizontal="left" vertical="top" wrapText="1"/>
    </xf>
    <xf numFmtId="0" fontId="17" fillId="0" borderId="17" xfId="14" applyFont="1" applyBorder="1" applyAlignment="1">
      <alignment horizontal="left" vertical="center" wrapText="1"/>
    </xf>
    <xf numFmtId="0" fontId="17" fillId="0" borderId="22" xfId="14" applyFont="1" applyBorder="1" applyAlignment="1">
      <alignment horizontal="left" vertical="center" wrapText="1"/>
    </xf>
    <xf numFmtId="0" fontId="17" fillId="0" borderId="17" xfId="21" applyFont="1" applyBorder="1" applyAlignment="1">
      <alignment vertical="center" wrapText="1"/>
    </xf>
    <xf numFmtId="0" fontId="17" fillId="0" borderId="22" xfId="21" applyFont="1" applyBorder="1" applyAlignment="1">
      <alignment vertical="center" wrapText="1"/>
    </xf>
    <xf numFmtId="0" fontId="17" fillId="0" borderId="3" xfId="19" applyFont="1" applyBorder="1" applyAlignment="1">
      <alignment horizontal="center" vertical="center"/>
    </xf>
    <xf numFmtId="0" fontId="17" fillId="0" borderId="13" xfId="19" applyFont="1" applyBorder="1" applyAlignment="1">
      <alignment horizontal="center" vertical="center"/>
    </xf>
    <xf numFmtId="0" fontId="17" fillId="0" borderId="17" xfId="19" applyFont="1" applyBorder="1" applyAlignment="1">
      <alignment vertical="center" wrapText="1"/>
    </xf>
    <xf numFmtId="0" fontId="17" fillId="0" borderId="70" xfId="19" applyFont="1" applyBorder="1" applyAlignment="1">
      <alignment vertical="center" wrapText="1"/>
    </xf>
    <xf numFmtId="0" fontId="17" fillId="0" borderId="75" xfId="19" applyFont="1" applyBorder="1" applyAlignment="1">
      <alignment vertical="center" wrapText="1"/>
    </xf>
    <xf numFmtId="0" fontId="17" fillId="0" borderId="69" xfId="19" applyFont="1" applyBorder="1" applyAlignment="1">
      <alignment vertical="center" wrapText="1"/>
    </xf>
    <xf numFmtId="0" fontId="17" fillId="0" borderId="31" xfId="14" applyFont="1" applyBorder="1" applyAlignment="1">
      <alignment horizontal="center" vertical="center"/>
    </xf>
    <xf numFmtId="0" fontId="24" fillId="0" borderId="30" xfId="14" applyFont="1" applyBorder="1" applyAlignment="1">
      <alignment horizontal="center" vertical="top"/>
    </xf>
    <xf numFmtId="4" fontId="12" fillId="6" borderId="39" xfId="15" applyNumberFormat="1" applyFont="1" applyFill="1" applyBorder="1" applyAlignment="1">
      <alignment horizontal="center" vertical="center" wrapText="1"/>
    </xf>
    <xf numFmtId="4" fontId="12" fillId="6" borderId="34" xfId="15" applyNumberFormat="1" applyFont="1" applyFill="1" applyBorder="1" applyAlignment="1">
      <alignment horizontal="center" vertical="center" wrapText="1"/>
    </xf>
    <xf numFmtId="0" fontId="24" fillId="0" borderId="51" xfId="14" applyFont="1" applyBorder="1" applyAlignment="1">
      <alignment vertical="top"/>
    </xf>
    <xf numFmtId="0" fontId="24" fillId="0" borderId="49" xfId="14" applyFont="1" applyBorder="1" applyAlignment="1">
      <alignment vertical="top"/>
    </xf>
    <xf numFmtId="0" fontId="24" fillId="0" borderId="51" xfId="14" applyFont="1" applyBorder="1" applyAlignment="1">
      <alignment horizontal="center" vertical="top"/>
    </xf>
    <xf numFmtId="0" fontId="24" fillId="0" borderId="72" xfId="14" applyFont="1" applyBorder="1" applyAlignment="1">
      <alignment horizontal="center" vertical="top"/>
    </xf>
    <xf numFmtId="0" fontId="24" fillId="0" borderId="49" xfId="14" applyFont="1" applyBorder="1" applyAlignment="1">
      <alignment horizontal="center" vertical="top"/>
    </xf>
    <xf numFmtId="0" fontId="17" fillId="0" borderId="77" xfId="14" applyFont="1" applyBorder="1" applyAlignment="1">
      <alignment vertical="center"/>
    </xf>
    <xf numFmtId="0" fontId="17" fillId="6" borderId="36" xfId="14" applyFont="1" applyFill="1" applyBorder="1"/>
    <xf numFmtId="0" fontId="17" fillId="6" borderId="24" xfId="14" applyFont="1" applyFill="1" applyBorder="1"/>
    <xf numFmtId="0" fontId="17" fillId="0" borderId="73" xfId="14" applyFont="1" applyBorder="1" applyAlignment="1">
      <alignment vertical="center" wrapText="1"/>
    </xf>
    <xf numFmtId="0" fontId="17" fillId="0" borderId="23" xfId="14" applyFont="1" applyBorder="1" applyAlignment="1">
      <alignment vertical="center" wrapText="1"/>
    </xf>
    <xf numFmtId="0" fontId="24" fillId="5" borderId="9" xfId="14" applyFont="1" applyFill="1" applyBorder="1" applyAlignment="1">
      <alignment vertical="top"/>
    </xf>
    <xf numFmtId="0" fontId="24" fillId="5" borderId="29" xfId="14" applyFont="1" applyFill="1" applyBorder="1" applyAlignment="1">
      <alignment vertical="top"/>
    </xf>
    <xf numFmtId="0" fontId="24" fillId="5" borderId="15" xfId="14" applyFont="1" applyFill="1" applyBorder="1" applyAlignment="1">
      <alignment vertical="top"/>
    </xf>
    <xf numFmtId="0" fontId="17" fillId="5" borderId="80" xfId="14" applyFont="1" applyFill="1" applyBorder="1" applyAlignment="1">
      <alignment vertical="center" wrapText="1"/>
    </xf>
    <xf numFmtId="0" fontId="17" fillId="5" borderId="27" xfId="14" applyFont="1" applyFill="1" applyBorder="1" applyAlignment="1">
      <alignment vertical="center" wrapText="1"/>
    </xf>
    <xf numFmtId="0" fontId="17" fillId="5" borderId="21" xfId="14" applyFont="1" applyFill="1" applyBorder="1" applyAlignment="1">
      <alignment vertical="center" wrapText="1"/>
    </xf>
    <xf numFmtId="0" fontId="17" fillId="5" borderId="32" xfId="14" applyFont="1" applyFill="1" applyBorder="1" applyAlignment="1">
      <alignment horizontal="center" vertical="center"/>
    </xf>
    <xf numFmtId="0" fontId="24" fillId="5" borderId="9" xfId="14" applyFont="1" applyFill="1" applyBorder="1" applyAlignment="1">
      <alignment horizontal="center" vertical="top"/>
    </xf>
    <xf numFmtId="0" fontId="24" fillId="5" borderId="29" xfId="14" applyFont="1" applyFill="1" applyBorder="1" applyAlignment="1">
      <alignment horizontal="center" vertical="top"/>
    </xf>
    <xf numFmtId="0" fontId="17" fillId="5" borderId="38" xfId="14" applyFont="1" applyFill="1" applyBorder="1" applyAlignment="1">
      <alignment vertical="center" wrapText="1"/>
    </xf>
    <xf numFmtId="0" fontId="24" fillId="5" borderId="17" xfId="14" applyFont="1" applyFill="1" applyBorder="1" applyAlignment="1">
      <alignment vertical="center" wrapText="1"/>
    </xf>
    <xf numFmtId="0" fontId="24" fillId="5" borderId="22" xfId="14" applyFont="1" applyFill="1" applyBorder="1" applyAlignment="1">
      <alignment vertical="center" wrapText="1"/>
    </xf>
    <xf numFmtId="0" fontId="14" fillId="5" borderId="17" xfId="14" applyFont="1" applyFill="1" applyBorder="1" applyAlignment="1">
      <alignment vertical="center" wrapText="1"/>
    </xf>
    <xf numFmtId="0" fontId="14" fillId="5" borderId="22" xfId="14" applyFont="1" applyFill="1" applyBorder="1" applyAlignment="1">
      <alignment vertical="center" wrapText="1"/>
    </xf>
    <xf numFmtId="0" fontId="14" fillId="5" borderId="37" xfId="14" applyFont="1" applyFill="1" applyBorder="1" applyAlignment="1">
      <alignment vertical="center" wrapText="1"/>
    </xf>
    <xf numFmtId="0" fontId="14" fillId="5" borderId="26" xfId="14" applyFont="1" applyFill="1" applyBorder="1" applyAlignment="1">
      <alignment vertical="center" wrapText="1"/>
    </xf>
    <xf numFmtId="0" fontId="17" fillId="5" borderId="47" xfId="14" applyFont="1" applyFill="1" applyBorder="1" applyAlignment="1">
      <alignment vertical="center" wrapText="1"/>
    </xf>
    <xf numFmtId="0" fontId="14" fillId="6" borderId="52" xfId="15" applyFont="1" applyFill="1" applyBorder="1" applyAlignment="1">
      <alignment horizontal="center" vertical="center"/>
    </xf>
    <xf numFmtId="0" fontId="14" fillId="6" borderId="44" xfId="15" applyFont="1" applyFill="1" applyBorder="1" applyAlignment="1">
      <alignment horizontal="center" vertical="center"/>
    </xf>
    <xf numFmtId="0" fontId="17" fillId="0" borderId="77" xfId="14" applyFont="1" applyBorder="1" applyAlignment="1">
      <alignment vertical="center" wrapText="1"/>
    </xf>
    <xf numFmtId="0" fontId="14" fillId="6" borderId="76" xfId="15" applyFont="1" applyFill="1" applyBorder="1" applyAlignment="1">
      <alignment horizontal="center" vertical="center"/>
    </xf>
    <xf numFmtId="0" fontId="14" fillId="6" borderId="78" xfId="15" applyFont="1" applyFill="1" applyBorder="1" applyAlignment="1">
      <alignment horizontal="center" vertical="center"/>
    </xf>
    <xf numFmtId="0" fontId="18" fillId="0" borderId="75" xfId="14" applyFont="1" applyBorder="1" applyAlignment="1">
      <alignment vertical="center" wrapText="1"/>
    </xf>
    <xf numFmtId="0" fontId="18" fillId="0" borderId="69" xfId="14" applyFont="1" applyBorder="1" applyAlignment="1">
      <alignment vertical="center" wrapText="1"/>
    </xf>
    <xf numFmtId="0" fontId="24" fillId="5" borderId="15" xfId="14" applyFont="1" applyFill="1" applyBorder="1" applyAlignment="1">
      <alignment horizontal="center" vertical="top" wrapText="1"/>
    </xf>
    <xf numFmtId="0" fontId="18" fillId="0" borderId="17" xfId="14" applyFont="1" applyBorder="1" applyAlignment="1">
      <alignment vertical="center" wrapText="1"/>
    </xf>
    <xf numFmtId="0" fontId="18" fillId="0" borderId="70" xfId="14" applyFont="1" applyBorder="1" applyAlignment="1">
      <alignment vertical="center" wrapText="1"/>
    </xf>
    <xf numFmtId="0" fontId="18" fillId="0" borderId="17" xfId="14" applyFont="1" applyBorder="1" applyAlignment="1">
      <alignment vertical="center"/>
    </xf>
    <xf numFmtId="0" fontId="18" fillId="0" borderId="70" xfId="14" applyFont="1" applyBorder="1" applyAlignment="1">
      <alignment vertical="center"/>
    </xf>
    <xf numFmtId="0" fontId="18" fillId="0" borderId="3" xfId="14" applyFont="1" applyBorder="1" applyAlignment="1">
      <alignment horizontal="center" vertical="center"/>
    </xf>
    <xf numFmtId="0" fontId="18" fillId="0" borderId="4" xfId="14" applyFont="1" applyBorder="1" applyAlignment="1">
      <alignment horizontal="center" vertical="center"/>
    </xf>
    <xf numFmtId="0" fontId="18" fillId="0" borderId="13" xfId="14" applyFont="1" applyBorder="1" applyAlignment="1">
      <alignment horizontal="center" vertical="center"/>
    </xf>
    <xf numFmtId="0" fontId="18" fillId="0" borderId="38" xfId="14" applyFont="1" applyBorder="1" applyAlignment="1">
      <alignment vertical="center" wrapText="1"/>
    </xf>
    <xf numFmtId="0" fontId="18" fillId="0" borderId="77" xfId="14" applyFont="1" applyBorder="1" applyAlignment="1">
      <alignment vertical="center" wrapText="1"/>
    </xf>
    <xf numFmtId="3" fontId="18" fillId="6" borderId="1" xfId="1" applyNumberFormat="1" applyFont="1" applyFill="1" applyBorder="1" applyAlignment="1">
      <alignment horizontal="center" vertical="center" wrapText="1"/>
    </xf>
    <xf numFmtId="3" fontId="18" fillId="6" borderId="7" xfId="1" applyNumberFormat="1" applyFont="1" applyFill="1" applyBorder="1" applyAlignment="1">
      <alignment horizontal="center" vertical="center" wrapText="1"/>
    </xf>
    <xf numFmtId="3" fontId="18" fillId="6" borderId="45" xfId="1" applyNumberFormat="1" applyFont="1" applyFill="1" applyBorder="1" applyAlignment="1">
      <alignment horizontal="center" vertical="center" wrapText="1"/>
    </xf>
    <xf numFmtId="3" fontId="28" fillId="4" borderId="1" xfId="1" applyNumberFormat="1" applyFont="1" applyFill="1" applyBorder="1" applyAlignment="1">
      <alignment horizontal="center" vertical="center" wrapText="1"/>
    </xf>
    <xf numFmtId="3" fontId="28" fillId="4" borderId="7" xfId="1" applyNumberFormat="1" applyFont="1" applyFill="1" applyBorder="1" applyAlignment="1">
      <alignment horizontal="center" vertical="center" wrapText="1"/>
    </xf>
    <xf numFmtId="3" fontId="28" fillId="4" borderId="45" xfId="1" applyNumberFormat="1" applyFont="1" applyFill="1" applyBorder="1" applyAlignment="1">
      <alignment horizontal="center" vertical="center" wrapText="1"/>
    </xf>
    <xf numFmtId="3" fontId="28" fillId="4" borderId="63" xfId="1" applyNumberFormat="1" applyFont="1" applyFill="1" applyBorder="1" applyAlignment="1">
      <alignment horizontal="center" vertical="center" wrapText="1"/>
    </xf>
    <xf numFmtId="0" fontId="18" fillId="6" borderId="40" xfId="0" applyFont="1" applyFill="1" applyBorder="1" applyAlignment="1">
      <alignment horizontal="center" vertical="center"/>
    </xf>
    <xf numFmtId="0" fontId="18" fillId="6" borderId="28" xfId="0" applyFont="1" applyFill="1" applyBorder="1" applyAlignment="1">
      <alignment horizontal="center" vertical="center"/>
    </xf>
    <xf numFmtId="0" fontId="18" fillId="6" borderId="61" xfId="0" applyFont="1" applyFill="1" applyBorder="1" applyAlignment="1">
      <alignment horizontal="center" vertical="center"/>
    </xf>
    <xf numFmtId="3" fontId="14" fillId="2" borderId="47" xfId="1" applyNumberFormat="1" applyFont="1" applyFill="1" applyBorder="1" applyAlignment="1">
      <alignment horizontal="center" vertical="center" wrapText="1"/>
    </xf>
    <xf numFmtId="3" fontId="14" fillId="2" borderId="70" xfId="1" applyNumberFormat="1" applyFont="1" applyFill="1" applyBorder="1" applyAlignment="1">
      <alignment horizontal="center" vertical="center" wrapText="1"/>
    </xf>
    <xf numFmtId="4" fontId="18" fillId="3" borderId="11" xfId="15" applyNumberFormat="1" applyFont="1" applyFill="1" applyBorder="1" applyAlignment="1">
      <alignment horizontal="center" vertical="center" wrapText="1"/>
    </xf>
    <xf numFmtId="4" fontId="18" fillId="3" borderId="61" xfId="15" applyNumberFormat="1" applyFont="1" applyFill="1" applyBorder="1" applyAlignment="1">
      <alignment horizontal="center" vertical="center" wrapText="1"/>
    </xf>
  </cellXfs>
  <cellStyles count="23">
    <cellStyle name="Čárka 2" xfId="8" xr:uid="{00000000-0005-0000-0000-000000000000}"/>
    <cellStyle name="Čárka 2 2" xfId="9" xr:uid="{00000000-0005-0000-0000-000001000000}"/>
    <cellStyle name="Čárka 2 2 2" xfId="10" xr:uid="{00000000-0005-0000-0000-000002000000}"/>
    <cellStyle name="Čárka 2 3" xfId="11" xr:uid="{00000000-0005-0000-0000-000003000000}"/>
    <cellStyle name="Čárka 3" xfId="12" xr:uid="{00000000-0005-0000-0000-000004000000}"/>
    <cellStyle name="Čárka 3 2" xfId="13" xr:uid="{00000000-0005-0000-0000-000005000000}"/>
    <cellStyle name="Normální" xfId="0" builtinId="0"/>
    <cellStyle name="Normální 2" xfId="3" xr:uid="{00000000-0005-0000-0000-000007000000}"/>
    <cellStyle name="Normální 3" xfId="4" xr:uid="{00000000-0005-0000-0000-000008000000}"/>
    <cellStyle name="Normální 4" xfId="5" xr:uid="{00000000-0005-0000-0000-000009000000}"/>
    <cellStyle name="Normální 5" xfId="6" xr:uid="{00000000-0005-0000-0000-00000A000000}"/>
    <cellStyle name="Normální 6" xfId="7" xr:uid="{00000000-0005-0000-0000-00000B000000}"/>
    <cellStyle name="Normální 7" xfId="16" xr:uid="{00000000-0005-0000-0000-00000C000000}"/>
    <cellStyle name="Normální 7 2" xfId="17" xr:uid="{00000000-0005-0000-0000-00000D000000}"/>
    <cellStyle name="Normální 8" xfId="22" xr:uid="{F06EC819-A18E-4BA1-ABEB-53C638629B6D}"/>
    <cellStyle name="normální_1.-7" xfId="20" xr:uid="{00000000-0005-0000-0000-00000E000000}"/>
    <cellStyle name="normální_1.-7 2" xfId="15" xr:uid="{00000000-0005-0000-0000-00000F000000}"/>
    <cellStyle name="normální_10" xfId="19" xr:uid="{00000000-0005-0000-0000-000010000000}"/>
    <cellStyle name="normální_čerp.-celek 1.-9.09" xfId="1" xr:uid="{00000000-0005-0000-0000-000011000000}"/>
    <cellStyle name="normální_čerp.-celek r.2009 2 2" xfId="18" xr:uid="{00000000-0005-0000-0000-000012000000}"/>
    <cellStyle name="normální_Fondy" xfId="2" xr:uid="{00000000-0005-0000-0000-000013000000}"/>
    <cellStyle name="normální_t 01" xfId="14" xr:uid="{00000000-0005-0000-0000-000014000000}"/>
    <cellStyle name="normální_t 01 2" xfId="21" xr:uid="{00000000-0005-0000-0000-000015000000}"/>
  </cellStyles>
  <dxfs count="0"/>
  <tableStyles count="0" defaultTableStyle="TableStyleMedium2" defaultPivotStyle="PivotStyleLight16"/>
  <colors>
    <mruColors>
      <color rgb="FFCCFFCC"/>
      <color rgb="FFFFFFCC"/>
      <color rgb="FF00EE00"/>
      <color rgb="FF008A3E"/>
      <color rgb="FFCC6600"/>
      <color rgb="FFFF9933"/>
      <color rgb="FF00C400"/>
      <color rgb="FF0085B4"/>
      <color rgb="FF009BD2"/>
      <color rgb="FF0060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409575</xdr:colOff>
      <xdr:row>3</xdr:row>
      <xdr:rowOff>76200</xdr:rowOff>
    </xdr:to>
    <xdr:pic>
      <xdr:nvPicPr>
        <xdr:cNvPr id="4" name="Obrázek 3" descr="stredoceskykrajzna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47975" cy="561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8"/>
  <sheetViews>
    <sheetView workbookViewId="0">
      <selection activeCell="I6" sqref="I6"/>
    </sheetView>
  </sheetViews>
  <sheetFormatPr defaultColWidth="9.109375" defaultRowHeight="13.8" x14ac:dyDescent="0.3"/>
  <cols>
    <col min="1" max="10" width="8.6640625" style="29" customWidth="1"/>
    <col min="11" max="16384" width="9.109375" style="29"/>
  </cols>
  <sheetData>
    <row r="1" spans="2:15" x14ac:dyDescent="0.3">
      <c r="O1" s="923"/>
    </row>
    <row r="5" spans="2:15" x14ac:dyDescent="0.3">
      <c r="B5" s="29" t="s">
        <v>574</v>
      </c>
    </row>
    <row r="18" spans="1:15" ht="31.2" x14ac:dyDescent="0.6">
      <c r="A18" s="1057" t="s">
        <v>323</v>
      </c>
      <c r="B18" s="1057"/>
      <c r="C18" s="1057"/>
      <c r="D18" s="1057"/>
      <c r="E18" s="1057"/>
      <c r="F18" s="1057"/>
      <c r="G18" s="1057"/>
      <c r="H18" s="1057"/>
      <c r="I18" s="1057"/>
      <c r="J18" s="1057"/>
      <c r="K18" s="1057"/>
      <c r="L18" s="1057"/>
      <c r="M18" s="1057"/>
      <c r="N18" s="1057"/>
      <c r="O18" s="1057"/>
    </row>
    <row r="19" spans="1:15" ht="28.8" x14ac:dyDescent="0.55000000000000004">
      <c r="A19" s="156"/>
    </row>
    <row r="20" spans="1:15" ht="31.2" x14ac:dyDescent="0.6">
      <c r="A20" s="1057" t="s">
        <v>506</v>
      </c>
      <c r="B20" s="1057"/>
      <c r="C20" s="1057"/>
      <c r="D20" s="1057"/>
      <c r="E20" s="1057"/>
      <c r="F20" s="1057"/>
      <c r="G20" s="1057"/>
      <c r="H20" s="1057"/>
      <c r="I20" s="1057"/>
      <c r="J20" s="1057"/>
      <c r="K20" s="1057"/>
      <c r="L20" s="1057"/>
      <c r="M20" s="1057"/>
      <c r="N20" s="1057"/>
      <c r="O20" s="1057"/>
    </row>
    <row r="21" spans="1:15" ht="28.8" x14ac:dyDescent="0.55000000000000004">
      <c r="A21" s="156"/>
    </row>
    <row r="28" spans="1:15" ht="23.4" x14ac:dyDescent="0.45">
      <c r="A28" s="1058" t="s">
        <v>233</v>
      </c>
      <c r="B28" s="1058"/>
      <c r="C28" s="1058"/>
      <c r="D28" s="1058"/>
      <c r="E28" s="1058"/>
      <c r="F28" s="1058"/>
      <c r="G28" s="1058"/>
      <c r="H28" s="1058"/>
      <c r="I28" s="1058"/>
      <c r="J28" s="1058"/>
      <c r="K28" s="1058"/>
      <c r="L28" s="1058"/>
      <c r="M28" s="1058"/>
      <c r="N28" s="1058"/>
      <c r="O28" s="1058"/>
    </row>
  </sheetData>
  <mergeCells count="3">
    <mergeCell ref="A18:O18"/>
    <mergeCell ref="A20:O20"/>
    <mergeCell ref="A28:O28"/>
  </mergeCells>
  <pageMargins left="0.70866141732283472" right="0.70866141732283472" top="0.78740157480314965" bottom="0.78740157480314965" header="0.31496062992125984" footer="0.31496062992125984"/>
  <pageSetup paperSize="9" scale="67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409"/>
  <sheetViews>
    <sheetView workbookViewId="0">
      <selection activeCell="C5" sqref="C5"/>
    </sheetView>
  </sheetViews>
  <sheetFormatPr defaultColWidth="9.109375" defaultRowHeight="13.8" x14ac:dyDescent="0.3"/>
  <cols>
    <col min="1" max="1" width="42.44140625" style="29" customWidth="1"/>
    <col min="2" max="2" width="14.6640625" style="38" customWidth="1"/>
    <col min="3" max="3" width="14.6640625" style="28" customWidth="1"/>
    <col min="4" max="4" width="14.6640625" style="38" customWidth="1"/>
    <col min="5" max="5" width="16" style="28" customWidth="1"/>
    <col min="6" max="7" width="14.6640625" style="28" customWidth="1"/>
    <col min="8" max="8" width="10.6640625" style="37" customWidth="1"/>
    <col min="9" max="9" width="9.109375" style="29"/>
    <col min="10" max="10" width="11.33203125" style="29" bestFit="1" customWidth="1"/>
    <col min="11" max="16384" width="9.109375" style="29"/>
  </cols>
  <sheetData>
    <row r="1" spans="1:8" ht="15" customHeight="1" x14ac:dyDescent="0.3">
      <c r="A1" s="29" t="s">
        <v>574</v>
      </c>
    </row>
    <row r="2" spans="1:8" ht="24.9" customHeight="1" x14ac:dyDescent="0.45">
      <c r="A2" s="27" t="s">
        <v>511</v>
      </c>
    </row>
    <row r="3" spans="1:8" ht="15" customHeight="1" x14ac:dyDescent="0.3"/>
    <row r="4" spans="1:8" ht="20.100000000000001" customHeight="1" x14ac:dyDescent="0.35">
      <c r="A4" s="39" t="s">
        <v>209</v>
      </c>
    </row>
    <row r="5" spans="1:8" ht="15" customHeight="1" x14ac:dyDescent="0.35">
      <c r="A5" s="39"/>
    </row>
    <row r="6" spans="1:8" ht="15" customHeight="1" thickBot="1" x14ac:dyDescent="0.35">
      <c r="A6" s="35" t="s">
        <v>337</v>
      </c>
      <c r="G6" s="46"/>
      <c r="H6" s="235" t="s">
        <v>0</v>
      </c>
    </row>
    <row r="7" spans="1:8" ht="20.100000000000001" customHeight="1" x14ac:dyDescent="0.3">
      <c r="A7" s="1075" t="s">
        <v>1</v>
      </c>
      <c r="B7" s="1060" t="s">
        <v>402</v>
      </c>
      <c r="C7" s="1061"/>
      <c r="D7" s="1060" t="s">
        <v>450</v>
      </c>
      <c r="E7" s="1064"/>
      <c r="F7" s="1061"/>
      <c r="G7" s="1065" t="s">
        <v>507</v>
      </c>
      <c r="H7" s="1077" t="s">
        <v>508</v>
      </c>
    </row>
    <row r="8" spans="1:8" ht="35.1" customHeight="1" thickBot="1" x14ac:dyDescent="0.35">
      <c r="A8" s="1076"/>
      <c r="B8" s="236" t="s">
        <v>103</v>
      </c>
      <c r="C8" s="835" t="s">
        <v>520</v>
      </c>
      <c r="D8" s="236" t="s">
        <v>103</v>
      </c>
      <c r="E8" s="237" t="s">
        <v>556</v>
      </c>
      <c r="F8" s="238" t="s">
        <v>555</v>
      </c>
      <c r="G8" s="1066"/>
      <c r="H8" s="1078"/>
    </row>
    <row r="9" spans="1:8" ht="15" customHeight="1" x14ac:dyDescent="0.3">
      <c r="A9" s="104" t="s">
        <v>29</v>
      </c>
      <c r="B9" s="107">
        <f>'04'!D11</f>
        <v>130940</v>
      </c>
      <c r="C9" s="154">
        <f>'04'!E11</f>
        <v>130940</v>
      </c>
      <c r="D9" s="107">
        <f>'04'!F11</f>
        <v>135940</v>
      </c>
      <c r="E9" s="152">
        <f>'04'!G11</f>
        <v>135940</v>
      </c>
      <c r="F9" s="152">
        <f>'04'!H11</f>
        <v>101955</v>
      </c>
      <c r="G9" s="744">
        <f>+'04'!I11</f>
        <v>135940</v>
      </c>
      <c r="H9" s="106">
        <f>+G9/D9*100</f>
        <v>100</v>
      </c>
    </row>
    <row r="10" spans="1:8" ht="15" customHeight="1" x14ac:dyDescent="0.3">
      <c r="A10" s="104" t="s">
        <v>91</v>
      </c>
      <c r="B10" s="107">
        <f>'05'!D22+'05'!D37</f>
        <v>458100</v>
      </c>
      <c r="C10" s="154">
        <f>'05'!E22+'05'!E37</f>
        <v>445939.68</v>
      </c>
      <c r="D10" s="107">
        <f>'05'!F22+'05'!F37</f>
        <v>510314</v>
      </c>
      <c r="E10" s="152">
        <f>'05'!G22+'05'!G37</f>
        <v>508876.98</v>
      </c>
      <c r="F10" s="152">
        <f>'05'!H22+'05'!H37</f>
        <v>357577.21</v>
      </c>
      <c r="G10" s="744">
        <f>'05'!I22+'05'!I37</f>
        <v>626450</v>
      </c>
      <c r="H10" s="106">
        <f t="shared" ref="H10:H15" si="0">+G10/D10*100</f>
        <v>122.75775306967867</v>
      </c>
    </row>
    <row r="11" spans="1:8" ht="15" customHeight="1" x14ac:dyDescent="0.3">
      <c r="A11" s="104" t="s">
        <v>30</v>
      </c>
      <c r="B11" s="107">
        <f>+'06'!D16+'06'!D23+'06'!D44+'06'!D71</f>
        <v>75697</v>
      </c>
      <c r="C11" s="154">
        <f>+'06'!E16+'06'!E23+'06'!E44+'06'!E71</f>
        <v>88239.8</v>
      </c>
      <c r="D11" s="107">
        <f>+'06'!F16+'06'!F23+'06'!F44+'06'!F71</f>
        <v>85900</v>
      </c>
      <c r="E11" s="152">
        <f>+'06'!G16+'06'!G23+'06'!G44+'06'!G71</f>
        <v>92852.78</v>
      </c>
      <c r="F11" s="152">
        <f>+'06'!H16+'06'!H23+'06'!H44+'06'!H71</f>
        <v>69334.080000000002</v>
      </c>
      <c r="G11" s="744">
        <f>+'06'!I16+'06'!I23+'06'!I44+'06'!I71</f>
        <v>91419</v>
      </c>
      <c r="H11" s="106">
        <f t="shared" si="0"/>
        <v>106.42491268917347</v>
      </c>
    </row>
    <row r="12" spans="1:8" ht="15" customHeight="1" x14ac:dyDescent="0.3">
      <c r="A12" s="104" t="s">
        <v>31</v>
      </c>
      <c r="B12" s="107">
        <f>+'07'!D11+'07'!D16</f>
        <v>6038</v>
      </c>
      <c r="C12" s="154">
        <f>+'07'!E11+'07'!E16</f>
        <v>7700.6</v>
      </c>
      <c r="D12" s="107">
        <f>+'07'!F11+'07'!F16</f>
        <v>700</v>
      </c>
      <c r="E12" s="152">
        <f>+'07'!G11+'07'!G16</f>
        <v>700</v>
      </c>
      <c r="F12" s="152">
        <f>+'07'!H11+'07'!H16</f>
        <v>524.97</v>
      </c>
      <c r="G12" s="744">
        <f>+'07'!I11+'07'!I16</f>
        <v>0</v>
      </c>
      <c r="H12" s="106">
        <f t="shared" si="0"/>
        <v>0</v>
      </c>
    </row>
    <row r="13" spans="1:8" ht="15" customHeight="1" x14ac:dyDescent="0.3">
      <c r="A13" s="104" t="s">
        <v>33</v>
      </c>
      <c r="B13" s="107">
        <f>+'09'!D15</f>
        <v>4804</v>
      </c>
      <c r="C13" s="154">
        <f>+'09'!E15</f>
        <v>4804</v>
      </c>
      <c r="D13" s="107">
        <f>+'09'!F15</f>
        <v>4590</v>
      </c>
      <c r="E13" s="152">
        <f>+'09'!G15</f>
        <v>4590</v>
      </c>
      <c r="F13" s="152">
        <f>+'09'!H15</f>
        <v>3442.5</v>
      </c>
      <c r="G13" s="744">
        <f>+'09'!I15</f>
        <v>4698</v>
      </c>
      <c r="H13" s="106">
        <f t="shared" si="0"/>
        <v>102.35294117647058</v>
      </c>
    </row>
    <row r="14" spans="1:8" ht="15" customHeight="1" x14ac:dyDescent="0.3">
      <c r="A14" s="104" t="s">
        <v>37</v>
      </c>
      <c r="B14" s="107">
        <f>+'17'!D10+'17'!D18+'17'!D24+'17'!D29+'17'!D34+'17'!D39+'17'!D44+'17'!D49+'17'!D54+'17'!D60+'17'!D65+'17'!D70+'17'!D75+'17'!D80</f>
        <v>105420</v>
      </c>
      <c r="C14" s="154">
        <f>+'17'!E10+'17'!E18+'17'!E24+'17'!E29+'17'!E34+'17'!E39+'17'!E44+'17'!E49+'17'!E54+'17'!E60+'17'!E65+'17'!E70+'17'!E75+'17'!E80</f>
        <v>80386.23000000001</v>
      </c>
      <c r="D14" s="107">
        <f>+'17'!F10+'17'!F18+'17'!F24+'17'!F29+'17'!F34+'17'!F39+'17'!F44+'17'!F49+'17'!F54+'17'!F60+'17'!F65+'17'!F70+'17'!F75+'17'!F80</f>
        <v>99733</v>
      </c>
      <c r="E14" s="152">
        <f>+'17'!G10+'17'!G18+'17'!G24+'17'!G29+'17'!G34+'17'!G39+'17'!G44+'17'!G49+'17'!G54+'17'!G60+'17'!G65+'17'!G70+'17'!G75+'17'!G80</f>
        <v>97191.5</v>
      </c>
      <c r="F14" s="152">
        <f>+'17'!H10+'17'!H18+'17'!H24+'17'!H29+'17'!H34+'17'!H39+'17'!H44+'17'!H49+'17'!H54+'17'!H60+'17'!H65+'17'!H70+'17'!H75+'17'!H80</f>
        <v>76807.100000000006</v>
      </c>
      <c r="G14" s="744">
        <f>+'17'!I10+'17'!I18+'17'!I24+'17'!I29+'17'!I34+'17'!I39+'17'!I44+'17'!I49+'17'!I54+'17'!I60+'17'!I65+'17'!I70+'17'!I75+'17'!I80</f>
        <v>102481</v>
      </c>
      <c r="H14" s="106">
        <f t="shared" si="0"/>
        <v>102.7553568026631</v>
      </c>
    </row>
    <row r="15" spans="1:8" ht="15" customHeight="1" thickBot="1" x14ac:dyDescent="0.35">
      <c r="A15" s="104" t="s">
        <v>257</v>
      </c>
      <c r="B15" s="107">
        <f>+'26'!D14+'26'!D22</f>
        <v>43774</v>
      </c>
      <c r="C15" s="154">
        <f>+'26'!E14+'26'!E22</f>
        <v>48076.979999999996</v>
      </c>
      <c r="D15" s="107">
        <f>+'26'!F14+'26'!F22</f>
        <v>62355</v>
      </c>
      <c r="E15" s="152">
        <f>+'26'!G14+'26'!G22</f>
        <v>63571.39</v>
      </c>
      <c r="F15" s="152">
        <f>+'26'!H14+'26'!H22</f>
        <v>47687.490000000005</v>
      </c>
      <c r="G15" s="744">
        <f>+'26'!I14+'26'!I22</f>
        <v>100447</v>
      </c>
      <c r="H15" s="106">
        <f t="shared" si="0"/>
        <v>161.08892630903696</v>
      </c>
    </row>
    <row r="16" spans="1:8" ht="30.75" customHeight="1" thickBot="1" x14ac:dyDescent="0.35">
      <c r="A16" s="242" t="s">
        <v>227</v>
      </c>
      <c r="B16" s="243">
        <f>SUM(B9:B15)</f>
        <v>824773</v>
      </c>
      <c r="C16" s="244">
        <f t="shared" ref="C16:F16" si="1">SUM(C9:C15)</f>
        <v>806087.28999999992</v>
      </c>
      <c r="D16" s="245">
        <f t="shared" si="1"/>
        <v>899532</v>
      </c>
      <c r="E16" s="246">
        <f t="shared" si="1"/>
        <v>903722.65</v>
      </c>
      <c r="F16" s="247">
        <f t="shared" si="1"/>
        <v>657328.35</v>
      </c>
      <c r="G16" s="199">
        <f>SUM(G9:G15)</f>
        <v>1061435</v>
      </c>
      <c r="H16" s="248">
        <f>+G16/D16*100</f>
        <v>117.99858148459421</v>
      </c>
    </row>
    <row r="17" spans="1:8" s="28" customFormat="1" ht="15" customHeight="1" x14ac:dyDescent="0.3">
      <c r="G17" s="38"/>
    </row>
    <row r="18" spans="1:8" s="28" customFormat="1" ht="15" customHeight="1" thickBot="1" x14ac:dyDescent="0.35">
      <c r="A18" s="35" t="s">
        <v>381</v>
      </c>
      <c r="B18" s="38"/>
      <c r="D18" s="38"/>
      <c r="G18" s="38"/>
      <c r="H18" s="235" t="s">
        <v>0</v>
      </c>
    </row>
    <row r="19" spans="1:8" s="28" customFormat="1" ht="20.100000000000001" customHeight="1" x14ac:dyDescent="0.3">
      <c r="A19" s="1075" t="s">
        <v>1</v>
      </c>
      <c r="B19" s="1060" t="s">
        <v>402</v>
      </c>
      <c r="C19" s="1061"/>
      <c r="D19" s="1060" t="s">
        <v>450</v>
      </c>
      <c r="E19" s="1064"/>
      <c r="F19" s="1061"/>
      <c r="G19" s="1065" t="s">
        <v>507</v>
      </c>
      <c r="H19" s="1077" t="s">
        <v>508</v>
      </c>
    </row>
    <row r="20" spans="1:8" s="28" customFormat="1" ht="35.1" customHeight="1" thickBot="1" x14ac:dyDescent="0.35">
      <c r="A20" s="1076"/>
      <c r="B20" s="236" t="s">
        <v>103</v>
      </c>
      <c r="C20" s="835" t="s">
        <v>520</v>
      </c>
      <c r="D20" s="236" t="s">
        <v>103</v>
      </c>
      <c r="E20" s="237" t="s">
        <v>556</v>
      </c>
      <c r="F20" s="238" t="s">
        <v>555</v>
      </c>
      <c r="G20" s="1066"/>
      <c r="H20" s="1078"/>
    </row>
    <row r="21" spans="1:8" s="28" customFormat="1" ht="15" customHeight="1" x14ac:dyDescent="0.3">
      <c r="A21" s="104" t="s">
        <v>29</v>
      </c>
      <c r="B21" s="127">
        <f>+'04'!D14</f>
        <v>4350</v>
      </c>
      <c r="C21" s="154">
        <f>+'04'!E14</f>
        <v>4350</v>
      </c>
      <c r="D21" s="107">
        <f>+'04'!F14</f>
        <v>4350</v>
      </c>
      <c r="E21" s="152">
        <f>+'04'!G14</f>
        <v>4350</v>
      </c>
      <c r="F21" s="152">
        <f>+'04'!H14</f>
        <v>3262.5</v>
      </c>
      <c r="G21" s="744">
        <f>+'04'!I14</f>
        <v>4350</v>
      </c>
      <c r="H21" s="106">
        <f t="shared" ref="H21:H27" si="2">+G21/D21*100</f>
        <v>100</v>
      </c>
    </row>
    <row r="22" spans="1:8" s="28" customFormat="1" ht="15" customHeight="1" x14ac:dyDescent="0.3">
      <c r="A22" s="104" t="s">
        <v>91</v>
      </c>
      <c r="B22" s="834">
        <f>+'05'!D24</f>
        <v>354199</v>
      </c>
      <c r="C22" s="707">
        <f>+'05'!E24</f>
        <v>269800.73</v>
      </c>
      <c r="D22" s="706">
        <f>+'05'!F24</f>
        <v>250000</v>
      </c>
      <c r="E22" s="152">
        <f>+'05'!G24</f>
        <v>279202.4499999999</v>
      </c>
      <c r="F22" s="152">
        <f>+'05'!H24</f>
        <v>214310.81000000003</v>
      </c>
      <c r="G22" s="744">
        <f>+'05'!I24</f>
        <v>155000</v>
      </c>
      <c r="H22" s="106">
        <f t="shared" si="2"/>
        <v>62</v>
      </c>
    </row>
    <row r="23" spans="1:8" s="28" customFormat="1" ht="15" customHeight="1" x14ac:dyDescent="0.3">
      <c r="A23" s="104" t="s">
        <v>30</v>
      </c>
      <c r="B23" s="834">
        <f>+'06'!D19+'06'!D26+'06'!D47+'06'!D74</f>
        <v>40307</v>
      </c>
      <c r="C23" s="707">
        <f>+'06'!E19+'06'!E26+'06'!E47+'06'!E74</f>
        <v>40415.32</v>
      </c>
      <c r="D23" s="706">
        <f>+'06'!F19+'06'!F26+'06'!F47+'06'!F74</f>
        <v>40238</v>
      </c>
      <c r="E23" s="152">
        <f>+'06'!G19+'06'!G26+'06'!G47+'06'!G74</f>
        <v>42740.25</v>
      </c>
      <c r="F23" s="152">
        <f>+'06'!H19+'06'!H26+'06'!H47+'06'!H74</f>
        <v>32180.690000000002</v>
      </c>
      <c r="G23" s="744">
        <f>+'06'!I19+'06'!I26+'06'!I47+'06'!I74</f>
        <v>25087</v>
      </c>
      <c r="H23" s="106">
        <f t="shared" si="2"/>
        <v>62.34653809831503</v>
      </c>
    </row>
    <row r="24" spans="1:8" s="28" customFormat="1" ht="15" customHeight="1" x14ac:dyDescent="0.3">
      <c r="A24" s="104" t="s">
        <v>31</v>
      </c>
      <c r="B24" s="834">
        <f>+'07'!D14+'07'!D19</f>
        <v>16139</v>
      </c>
      <c r="C24" s="707">
        <f>+'07'!E14+'07'!E19</f>
        <v>17131.080000000002</v>
      </c>
      <c r="D24" s="706">
        <f>+'07'!F14+'07'!F19</f>
        <v>13634</v>
      </c>
      <c r="E24" s="152">
        <f>+'07'!G14+'07'!G19</f>
        <v>16369.41</v>
      </c>
      <c r="F24" s="152">
        <f>+'07'!H14+'07'!H19</f>
        <v>13786.83</v>
      </c>
      <c r="G24" s="744">
        <f>+'07'!I14+'07'!I19</f>
        <v>10764</v>
      </c>
      <c r="H24" s="106">
        <f t="shared" si="2"/>
        <v>78.949684611999416</v>
      </c>
    </row>
    <row r="25" spans="1:8" s="28" customFormat="1" ht="15" customHeight="1" x14ac:dyDescent="0.3">
      <c r="A25" s="104" t="s">
        <v>33</v>
      </c>
      <c r="B25" s="834">
        <f>+'09'!D18</f>
        <v>276</v>
      </c>
      <c r="C25" s="707">
        <f>+'09'!E18</f>
        <v>276</v>
      </c>
      <c r="D25" s="706">
        <f>+'09'!F18</f>
        <v>192</v>
      </c>
      <c r="E25" s="152">
        <f>+'09'!G18</f>
        <v>192</v>
      </c>
      <c r="F25" s="152">
        <f>+'09'!H18</f>
        <v>144</v>
      </c>
      <c r="G25" s="744">
        <f>+'09'!I18</f>
        <v>180</v>
      </c>
      <c r="H25" s="701">
        <f t="shared" si="2"/>
        <v>93.75</v>
      </c>
    </row>
    <row r="26" spans="1:8" s="28" customFormat="1" ht="15" customHeight="1" x14ac:dyDescent="0.3">
      <c r="A26" s="104" t="s">
        <v>37</v>
      </c>
      <c r="B26" s="834">
        <f>+'17'!D13+'17'!D21+'17'!D27+'17'!D32+'17'!D37+'17'!D42+'17'!D47+'17'!D52+'17'!D57+'17'!D63+'17'!D68+'17'!D73+'17'!D78+'17'!D83</f>
        <v>90965</v>
      </c>
      <c r="C26" s="707">
        <f>+'17'!E13+'17'!E21+'17'!E27+'17'!E32+'17'!E37+'17'!E42+'17'!E47+'17'!E52+'17'!E57+'17'!E63+'17'!E68+'17'!E73+'17'!E78+'17'!E83</f>
        <v>19962.740000000002</v>
      </c>
      <c r="D26" s="706">
        <f>+'17'!F13+'17'!F21+'17'!F27+'17'!F32+'17'!F37+'17'!F42+'17'!F47+'17'!F52+'17'!F57+'17'!F63+'17'!F68+'17'!F73+'17'!F78+'17'!F83</f>
        <v>40000</v>
      </c>
      <c r="E26" s="152">
        <f>+'17'!G13+'17'!G21+'17'!G27+'17'!G32+'17'!G37+'17'!G42+'17'!G47+'17'!G52+'17'!G57+'17'!G63+'17'!G68+'17'!G73+'17'!G78+'17'!G83</f>
        <v>40000</v>
      </c>
      <c r="F26" s="152">
        <f>+'17'!H13+'17'!H21+'17'!H27+'17'!H32+'17'!H37+'17'!H42+'17'!H47+'17'!H52+'17'!H57+'17'!H63+'17'!H68+'17'!H73+'17'!H78+'17'!H83</f>
        <v>15574.66</v>
      </c>
      <c r="G26" s="744">
        <f>+'17'!I13+'17'!I21+'17'!I27+'17'!I32+'17'!I37+'17'!I42+'17'!I47+'17'!I52+'17'!I57+'17'!I63+'17'!I68+'17'!I73+'17'!I78+'17'!I83</f>
        <v>30000</v>
      </c>
      <c r="H26" s="106">
        <f t="shared" si="2"/>
        <v>75</v>
      </c>
    </row>
    <row r="27" spans="1:8" s="28" customFormat="1" ht="15" customHeight="1" thickBot="1" x14ac:dyDescent="0.35">
      <c r="A27" s="104" t="s">
        <v>257</v>
      </c>
      <c r="B27" s="834">
        <f>+'26'!D17</f>
        <v>1550</v>
      </c>
      <c r="C27" s="707">
        <f>+'26'!E17</f>
        <v>1550</v>
      </c>
      <c r="D27" s="107">
        <f>+'26'!F17</f>
        <v>1550</v>
      </c>
      <c r="E27" s="152">
        <f>+'26'!G17</f>
        <v>1550</v>
      </c>
      <c r="F27" s="152">
        <f>+'26'!H17</f>
        <v>1162.8</v>
      </c>
      <c r="G27" s="744">
        <f>+'26'!I17</f>
        <v>1550</v>
      </c>
      <c r="H27" s="106">
        <f t="shared" si="2"/>
        <v>100</v>
      </c>
    </row>
    <row r="28" spans="1:8" s="28" customFormat="1" ht="31.5" customHeight="1" thickBot="1" x14ac:dyDescent="0.35">
      <c r="A28" s="242" t="s">
        <v>382</v>
      </c>
      <c r="B28" s="708">
        <f t="shared" ref="B28:G28" si="3">SUM(B21:B27)</f>
        <v>507786</v>
      </c>
      <c r="C28" s="709">
        <f t="shared" si="3"/>
        <v>353485.87</v>
      </c>
      <c r="D28" s="710">
        <f t="shared" si="3"/>
        <v>349964</v>
      </c>
      <c r="E28" s="711">
        <f t="shared" si="3"/>
        <v>384404.10999999987</v>
      </c>
      <c r="F28" s="712">
        <f t="shared" si="3"/>
        <v>280422.28999999998</v>
      </c>
      <c r="G28" s="199">
        <f t="shared" si="3"/>
        <v>226931</v>
      </c>
      <c r="H28" s="248">
        <f>+G28/D28*100</f>
        <v>64.844098250105731</v>
      </c>
    </row>
    <row r="29" spans="1:8" s="28" customFormat="1" ht="15" customHeight="1" x14ac:dyDescent="0.3">
      <c r="G29" s="38"/>
    </row>
    <row r="30" spans="1:8" ht="15" customHeight="1" thickBot="1" x14ac:dyDescent="0.35">
      <c r="A30" s="35" t="s">
        <v>344</v>
      </c>
      <c r="G30" s="38"/>
      <c r="H30" s="32" t="s">
        <v>0</v>
      </c>
    </row>
    <row r="31" spans="1:8" ht="20.100000000000001" customHeight="1" x14ac:dyDescent="0.3">
      <c r="A31" s="1075" t="s">
        <v>1</v>
      </c>
      <c r="B31" s="1060" t="s">
        <v>402</v>
      </c>
      <c r="C31" s="1061"/>
      <c r="D31" s="1060" t="s">
        <v>450</v>
      </c>
      <c r="E31" s="1064"/>
      <c r="F31" s="1061"/>
      <c r="G31" s="1065" t="s">
        <v>507</v>
      </c>
      <c r="H31" s="1077" t="s">
        <v>508</v>
      </c>
    </row>
    <row r="32" spans="1:8" ht="35.1" customHeight="1" thickBot="1" x14ac:dyDescent="0.35">
      <c r="A32" s="1076"/>
      <c r="B32" s="236" t="s">
        <v>103</v>
      </c>
      <c r="C32" s="835" t="s">
        <v>520</v>
      </c>
      <c r="D32" s="236" t="s">
        <v>103</v>
      </c>
      <c r="E32" s="237" t="s">
        <v>556</v>
      </c>
      <c r="F32" s="238" t="s">
        <v>555</v>
      </c>
      <c r="G32" s="1066"/>
      <c r="H32" s="1078"/>
    </row>
    <row r="33" spans="1:11" ht="15" customHeight="1" x14ac:dyDescent="0.3">
      <c r="A33" s="104" t="s">
        <v>29</v>
      </c>
      <c r="B33" s="107">
        <f>+'04'!D12</f>
        <v>154837</v>
      </c>
      <c r="C33" s="154">
        <f>+'04'!E12</f>
        <v>154837</v>
      </c>
      <c r="D33" s="107">
        <f>+'04'!F12</f>
        <v>158337</v>
      </c>
      <c r="E33" s="152">
        <f>+'04'!G12</f>
        <v>168995.88</v>
      </c>
      <c r="F33" s="152">
        <f>+'04'!H12</f>
        <v>122837</v>
      </c>
      <c r="G33" s="744">
        <f>+'04'!I12</f>
        <v>173916</v>
      </c>
      <c r="H33" s="106">
        <f>+G33/D33*100</f>
        <v>109.83914056727106</v>
      </c>
    </row>
    <row r="34" spans="1:11" ht="15" customHeight="1" x14ac:dyDescent="0.3">
      <c r="A34" s="104" t="s">
        <v>91</v>
      </c>
      <c r="B34" s="107">
        <f>+'05'!D76</f>
        <v>28451</v>
      </c>
      <c r="C34" s="154">
        <f>'05'!E76</f>
        <v>38134.86</v>
      </c>
      <c r="D34" s="107">
        <f>'05'!F76</f>
        <v>28451</v>
      </c>
      <c r="E34" s="152">
        <f>'05'!G76</f>
        <v>45363.460000000006</v>
      </c>
      <c r="F34" s="152">
        <f>'05'!H76</f>
        <v>35111.65</v>
      </c>
      <c r="G34" s="744">
        <f>'05'!I76</f>
        <v>1180810</v>
      </c>
      <c r="H34" s="106">
        <f t="shared" ref="H34:H39" si="4">+G34/D34*100</f>
        <v>4150.3286351973575</v>
      </c>
    </row>
    <row r="35" spans="1:11" ht="15" customHeight="1" x14ac:dyDescent="0.3">
      <c r="A35" s="104" t="s">
        <v>30</v>
      </c>
      <c r="B35" s="107">
        <f>+'06'!D17+'06'!D24+'06'!D45+'06'!D72</f>
        <v>348561</v>
      </c>
      <c r="C35" s="154">
        <f>+'06'!E17+'06'!E24+'06'!E45+'06'!E72</f>
        <v>354777.25</v>
      </c>
      <c r="D35" s="107">
        <f>+'06'!F17+'06'!F24+'06'!F45+'06'!F72</f>
        <v>382010</v>
      </c>
      <c r="E35" s="152">
        <f>+'06'!G17+'06'!G24+'06'!G45+'06'!G72</f>
        <v>398778.51999999996</v>
      </c>
      <c r="F35" s="152">
        <f>+'06'!H17+'06'!H24+'06'!H45+'06'!H72</f>
        <v>302113.06</v>
      </c>
      <c r="G35" s="744">
        <f>+'06'!I17+'06'!I24+'06'!I45+'06'!I72</f>
        <v>409036</v>
      </c>
      <c r="H35" s="106">
        <f t="shared" si="4"/>
        <v>107.07468390879819</v>
      </c>
    </row>
    <row r="36" spans="1:11" ht="15" customHeight="1" x14ac:dyDescent="0.3">
      <c r="A36" s="104" t="s">
        <v>31</v>
      </c>
      <c r="B36" s="107">
        <f>+'07'!D12+'07'!D17</f>
        <v>706785</v>
      </c>
      <c r="C36" s="154">
        <f>+'07'!E12+'07'!E17</f>
        <v>672796.99</v>
      </c>
      <c r="D36" s="107">
        <f>+'07'!F12+'07'!F17</f>
        <v>678395</v>
      </c>
      <c r="E36" s="152">
        <f>+'07'!G12+'07'!G17</f>
        <v>842243.02999999991</v>
      </c>
      <c r="F36" s="152">
        <f>+'07'!H12+'07'!H17</f>
        <v>721086.22</v>
      </c>
      <c r="G36" s="744">
        <f>+'07'!I12+'07'!I17</f>
        <v>939239</v>
      </c>
      <c r="H36" s="106">
        <f t="shared" si="4"/>
        <v>138.45016546407328</v>
      </c>
    </row>
    <row r="37" spans="1:11" ht="15" customHeight="1" x14ac:dyDescent="0.3">
      <c r="A37" s="104" t="s">
        <v>33</v>
      </c>
      <c r="B37" s="107">
        <f>+'09'!D16</f>
        <v>23092</v>
      </c>
      <c r="C37" s="154">
        <f>+'09'!E16</f>
        <v>23092</v>
      </c>
      <c r="D37" s="107">
        <f>+'09'!F16</f>
        <v>23310</v>
      </c>
      <c r="E37" s="152">
        <f>+'09'!G16</f>
        <v>23850</v>
      </c>
      <c r="F37" s="152">
        <f>+'09'!H16</f>
        <v>18022.5</v>
      </c>
      <c r="G37" s="744">
        <f>+'09'!I16</f>
        <v>24574</v>
      </c>
      <c r="H37" s="106">
        <f t="shared" si="4"/>
        <v>105.42256542256543</v>
      </c>
    </row>
    <row r="38" spans="1:11" ht="15" customHeight="1" x14ac:dyDescent="0.3">
      <c r="A38" s="104" t="s">
        <v>37</v>
      </c>
      <c r="B38" s="107">
        <f>+'17'!D11+'17'!D19+'17'!D25+'17'!D30+'17'!D35+'17'!D40+'17'!D45+'17'!D50+'17'!D55+'17'!D61+'17'!D66+'17'!D71+'17'!D76+'17'!D81</f>
        <v>269320</v>
      </c>
      <c r="C38" s="154">
        <f>+'17'!E11+'17'!E19+'17'!E25+'17'!E30+'17'!E35+'17'!E40+'17'!E45+'17'!E50+'17'!E55+'17'!E61+'17'!E66+'17'!E71+'17'!E76+'17'!E81</f>
        <v>238145.5</v>
      </c>
      <c r="D38" s="107">
        <f>+'17'!F11+'17'!F19+'17'!F25+'17'!F30+'17'!F35+'17'!F40+'17'!F45+'17'!F50+'17'!F55+'17'!F61+'17'!F66+'17'!F71+'17'!F76+'17'!F81</f>
        <v>296701</v>
      </c>
      <c r="E38" s="152">
        <f>+'17'!G11+'17'!G19+'17'!G25+'17'!G30+'17'!G35+'17'!G40+'17'!G45+'17'!G50+'17'!G55+'17'!G61+'17'!G66+'17'!G71+'17'!G76+'17'!G81+'17'!G88</f>
        <v>356027.02</v>
      </c>
      <c r="F38" s="152">
        <f>+'17'!H11+'17'!H19+'17'!H25+'17'!H30+'17'!H35+'17'!H40+'17'!H45+'17'!H50+'17'!H55+'17'!H61+'17'!H66+'17'!H71+'17'!H76+'17'!H81</f>
        <v>311840.36000000004</v>
      </c>
      <c r="G38" s="744">
        <f>+'17'!I11+'17'!I19+'17'!I25+'17'!I30+'17'!I35+'17'!I40+'17'!I45+'17'!I50+'17'!I55+'17'!I61+'17'!I66+'17'!I71+'17'!I76+'17'!I81</f>
        <v>352838</v>
      </c>
      <c r="H38" s="106">
        <f t="shared" si="4"/>
        <v>118.92039460601751</v>
      </c>
    </row>
    <row r="39" spans="1:11" ht="15" customHeight="1" thickBot="1" x14ac:dyDescent="0.35">
      <c r="A39" s="104" t="s">
        <v>257</v>
      </c>
      <c r="B39" s="107">
        <f>+'26'!D15</f>
        <v>70000</v>
      </c>
      <c r="C39" s="154">
        <f>+'26'!E15</f>
        <v>108715.76</v>
      </c>
      <c r="D39" s="107">
        <f>+'26'!F15</f>
        <v>125352</v>
      </c>
      <c r="E39" s="152">
        <f>+'26'!G15</f>
        <v>138059.82</v>
      </c>
      <c r="F39" s="152">
        <f>+'26'!H15</f>
        <v>103544.82</v>
      </c>
      <c r="G39" s="744">
        <f>+'26'!I15</f>
        <v>206389</v>
      </c>
      <c r="H39" s="106">
        <f t="shared" si="4"/>
        <v>164.647552492182</v>
      </c>
    </row>
    <row r="40" spans="1:11" s="35" customFormat="1" ht="30.75" customHeight="1" thickBot="1" x14ac:dyDescent="0.35">
      <c r="A40" s="242" t="s">
        <v>383</v>
      </c>
      <c r="B40" s="243">
        <f t="shared" ref="B40:G40" si="5">SUM(B33:B39)</f>
        <v>1601046</v>
      </c>
      <c r="C40" s="244">
        <f t="shared" si="5"/>
        <v>1590499.36</v>
      </c>
      <c r="D40" s="245">
        <f t="shared" si="5"/>
        <v>1692556</v>
      </c>
      <c r="E40" s="246">
        <f t="shared" si="5"/>
        <v>1973317.73</v>
      </c>
      <c r="F40" s="247">
        <f t="shared" si="5"/>
        <v>1614555.61</v>
      </c>
      <c r="G40" s="199">
        <f t="shared" si="5"/>
        <v>3286802</v>
      </c>
      <c r="H40" s="248">
        <f>+G40/D40*100</f>
        <v>194.19162497429923</v>
      </c>
    </row>
    <row r="41" spans="1:11" s="28" customFormat="1" x14ac:dyDescent="0.3">
      <c r="G41" s="38"/>
    </row>
    <row r="42" spans="1:11" ht="16.2" thickBot="1" x14ac:dyDescent="0.35">
      <c r="A42" s="35" t="s">
        <v>569</v>
      </c>
      <c r="G42" s="38"/>
      <c r="H42" s="235" t="s">
        <v>0</v>
      </c>
    </row>
    <row r="43" spans="1:11" ht="20.100000000000001" customHeight="1" x14ac:dyDescent="0.3">
      <c r="A43" s="1075" t="s">
        <v>1</v>
      </c>
      <c r="B43" s="1060" t="s">
        <v>402</v>
      </c>
      <c r="C43" s="1061"/>
      <c r="D43" s="1060" t="s">
        <v>450</v>
      </c>
      <c r="E43" s="1064"/>
      <c r="F43" s="1061"/>
      <c r="G43" s="1065" t="s">
        <v>507</v>
      </c>
      <c r="H43" s="1077" t="s">
        <v>508</v>
      </c>
    </row>
    <row r="44" spans="1:11" ht="35.1" customHeight="1" thickBot="1" x14ac:dyDescent="0.35">
      <c r="A44" s="1076"/>
      <c r="B44" s="236" t="s">
        <v>103</v>
      </c>
      <c r="C44" s="835" t="s">
        <v>520</v>
      </c>
      <c r="D44" s="236" t="s">
        <v>103</v>
      </c>
      <c r="E44" s="237" t="s">
        <v>556</v>
      </c>
      <c r="F44" s="238" t="s">
        <v>555</v>
      </c>
      <c r="G44" s="1066"/>
      <c r="H44" s="1078"/>
    </row>
    <row r="45" spans="1:11" ht="15" customHeight="1" x14ac:dyDescent="0.3">
      <c r="A45" s="104" t="s">
        <v>29</v>
      </c>
      <c r="B45" s="107">
        <f>+'04'!D13+'04'!D16</f>
        <v>1540630</v>
      </c>
      <c r="C45" s="154">
        <f>+'04'!E13+'04'!E16+'04'!E17+'04'!E18</f>
        <v>2076412.2</v>
      </c>
      <c r="D45" s="107">
        <f>+'04'!F13+'04'!F16+'04'!F17+'04'!F18</f>
        <v>1597630</v>
      </c>
      <c r="E45" s="152">
        <f>+'04'!G13+'04'!G16+'04'!G17+'04'!G18</f>
        <v>1812630</v>
      </c>
      <c r="F45" s="152">
        <f>+'04'!H13+'04'!H16+'04'!H17+'04'!H18</f>
        <v>1452202.45</v>
      </c>
      <c r="G45" s="744">
        <f>+'04'!I13+'04'!I16+'04'!I17+'04'!I18</f>
        <v>1597630</v>
      </c>
      <c r="H45" s="106">
        <f>+G45/D45*100</f>
        <v>100</v>
      </c>
      <c r="J45" s="31"/>
      <c r="K45" s="31"/>
    </row>
    <row r="46" spans="1:11" ht="15" customHeight="1" x14ac:dyDescent="0.3">
      <c r="A46" s="104" t="s">
        <v>91</v>
      </c>
      <c r="B46" s="107">
        <f>+'05'!D23+'05'!D48</f>
        <v>102000</v>
      </c>
      <c r="C46" s="154">
        <f>+'05'!E23+'05'!E48</f>
        <v>102754.68000000001</v>
      </c>
      <c r="D46" s="107">
        <f>+'05'!F23+'05'!F48</f>
        <v>102000</v>
      </c>
      <c r="E46" s="152">
        <f>+'05'!G23+'05'!G48</f>
        <v>114946.73</v>
      </c>
      <c r="F46" s="152">
        <f>+'05'!H23+'05'!H48</f>
        <v>46943.630000000005</v>
      </c>
      <c r="G46" s="744">
        <f>+'05'!I23+'05'!I48</f>
        <v>102000</v>
      </c>
      <c r="H46" s="106">
        <f t="shared" ref="H46:H51" si="6">+G46/D46*100</f>
        <v>100</v>
      </c>
      <c r="J46" s="31"/>
      <c r="K46" s="31"/>
    </row>
    <row r="47" spans="1:11" ht="15" customHeight="1" x14ac:dyDescent="0.3">
      <c r="A47" s="104" t="s">
        <v>30</v>
      </c>
      <c r="B47" s="107">
        <f>+'06'!D73+'06'!D46+'06'!D25+'06'!D48+'06'!D18</f>
        <v>13732</v>
      </c>
      <c r="C47" s="154">
        <f>+'06'!E73+'06'!E46+'06'!E25+'06'!E48+'06'!E18</f>
        <v>17683.45</v>
      </c>
      <c r="D47" s="107">
        <f>+'06'!F73+'06'!F46+'06'!F25+'06'!F48+'06'!F18</f>
        <v>15134</v>
      </c>
      <c r="E47" s="152">
        <f>+'06'!G73+'06'!G46+'06'!G25+'06'!G48+'06'!G18</f>
        <v>20083.080000000002</v>
      </c>
      <c r="F47" s="152">
        <f>+'06'!H73+'06'!H46+'06'!H25+'06'!H48+'06'!H18</f>
        <v>16703.669999999998</v>
      </c>
      <c r="G47" s="744">
        <f>+'06'!I18+'06'!I25+'06'!I46+'06'!I73+'06'!I51</f>
        <v>15134</v>
      </c>
      <c r="H47" s="106">
        <f t="shared" si="6"/>
        <v>100</v>
      </c>
      <c r="J47" s="31"/>
      <c r="K47" s="31"/>
    </row>
    <row r="48" spans="1:11" ht="15" customHeight="1" x14ac:dyDescent="0.3">
      <c r="A48" s="104" t="s">
        <v>31</v>
      </c>
      <c r="B48" s="107">
        <f>+'07'!D13+'07'!D18</f>
        <v>2931</v>
      </c>
      <c r="C48" s="154">
        <f>+'07'!E13+'07'!E18</f>
        <v>2731</v>
      </c>
      <c r="D48" s="107">
        <f>+'07'!F13+'07'!F18</f>
        <v>900</v>
      </c>
      <c r="E48" s="152">
        <f>+'07'!G13+'07'!G18</f>
        <v>900</v>
      </c>
      <c r="F48" s="152">
        <f>+'07'!H13+'07'!H18</f>
        <v>674.91</v>
      </c>
      <c r="G48" s="744">
        <f>+'07'!I13+'07'!I18</f>
        <v>0</v>
      </c>
      <c r="H48" s="106">
        <f t="shared" si="6"/>
        <v>0</v>
      </c>
      <c r="J48" s="31"/>
      <c r="K48" s="31"/>
    </row>
    <row r="49" spans="1:11" ht="15" customHeight="1" x14ac:dyDescent="0.3">
      <c r="A49" s="104" t="s">
        <v>33</v>
      </c>
      <c r="B49" s="107">
        <f>+'09'!D17</f>
        <v>48</v>
      </c>
      <c r="C49" s="154">
        <f>+'09'!E17</f>
        <v>48</v>
      </c>
      <c r="D49" s="107">
        <f>+'09'!F17</f>
        <v>48</v>
      </c>
      <c r="E49" s="152">
        <f>+'09'!G17</f>
        <v>48</v>
      </c>
      <c r="F49" s="152">
        <f>+'09'!H17</f>
        <v>36</v>
      </c>
      <c r="G49" s="744">
        <f>+'09'!I17</f>
        <v>48</v>
      </c>
      <c r="H49" s="106">
        <f t="shared" si="6"/>
        <v>100</v>
      </c>
      <c r="J49" s="31"/>
      <c r="K49" s="31"/>
    </row>
    <row r="50" spans="1:11" ht="15" customHeight="1" x14ac:dyDescent="0.3">
      <c r="A50" s="104" t="s">
        <v>37</v>
      </c>
      <c r="B50" s="107">
        <f>+'17'!D12+'17'!D20+'17'!D26+'17'!D31+'17'!D36+'17'!D41+'17'!D46+'17'!D51+'17'!D56+'17'!D62+'17'!D67+'17'!D72+'17'!D77+'17'!D82+'17'!D92</f>
        <v>51260</v>
      </c>
      <c r="C50" s="154">
        <f>+'17'!E12+'17'!E20+'17'!E26+'17'!E31+'17'!E36+'17'!E41+'17'!E46+'17'!E51+'17'!E56+'17'!E62+'17'!E67+'17'!E72+'17'!E77+'17'!E82+'17'!E92</f>
        <v>48920.93</v>
      </c>
      <c r="D50" s="107">
        <f>+'17'!F12+'17'!F20+'17'!F26+'17'!F31+'17'!F36+'17'!F41+'17'!F46+'17'!F51+'17'!F56+'17'!F62+'17'!F67+'17'!F72+'17'!F77+'17'!F82+'17'!F92</f>
        <v>80531</v>
      </c>
      <c r="E50" s="152">
        <f>+'17'!G12+'17'!G20+'17'!G26+'17'!G31+'17'!G36+'17'!G41+'17'!G46+'17'!G51+'17'!G56+'17'!G62+'17'!G67+'17'!G72+'17'!G77+'17'!G82+'17'!G92</f>
        <v>64805.270000000004</v>
      </c>
      <c r="F50" s="152">
        <f>+'17'!H12+'17'!H20+'17'!H26+'17'!H31+'17'!H36+'17'!H41+'17'!H46+'17'!H51+'17'!H56+'17'!H62+'17'!H67+'17'!H72+'17'!H77+'17'!H82+'17'!H92</f>
        <v>53114.94</v>
      </c>
      <c r="G50" s="744">
        <f>+'17'!I12+'17'!I20+'17'!I26+'17'!I31+'17'!I36+'17'!I41+'17'!I46+'17'!I51+'17'!I56+'17'!I62+'17'!I67+'17'!I72+'17'!I77+'17'!I82+'17'!I92</f>
        <v>91646</v>
      </c>
      <c r="H50" s="106">
        <f t="shared" si="6"/>
        <v>113.80213830698737</v>
      </c>
      <c r="J50" s="31"/>
      <c r="K50" s="31"/>
    </row>
    <row r="51" spans="1:11" ht="15" customHeight="1" thickBot="1" x14ac:dyDescent="0.35">
      <c r="A51" s="355" t="s">
        <v>257</v>
      </c>
      <c r="B51" s="107">
        <f>+'26'!D16</f>
        <v>430</v>
      </c>
      <c r="C51" s="154">
        <f>+'26'!E16</f>
        <v>430</v>
      </c>
      <c r="D51" s="107">
        <f>+'26'!F16</f>
        <v>430</v>
      </c>
      <c r="E51" s="152">
        <f>+'26'!G16</f>
        <v>430</v>
      </c>
      <c r="F51" s="152">
        <f>+'26'!H16</f>
        <v>430</v>
      </c>
      <c r="G51" s="744">
        <f>+'26'!I16</f>
        <v>1430</v>
      </c>
      <c r="H51" s="106">
        <f t="shared" si="6"/>
        <v>332.55813953488371</v>
      </c>
      <c r="J51" s="31"/>
      <c r="K51" s="31"/>
    </row>
    <row r="52" spans="1:11" ht="31.8" thickBot="1" x14ac:dyDescent="0.35">
      <c r="A52" s="242" t="s">
        <v>210</v>
      </c>
      <c r="B52" s="243">
        <f t="shared" ref="B52:G52" si="7">SUM(B45:B51)</f>
        <v>1711031</v>
      </c>
      <c r="C52" s="244">
        <f t="shared" si="7"/>
        <v>2248980.2600000002</v>
      </c>
      <c r="D52" s="245">
        <f t="shared" si="7"/>
        <v>1796673</v>
      </c>
      <c r="E52" s="246">
        <f t="shared" si="7"/>
        <v>2013843.08</v>
      </c>
      <c r="F52" s="247">
        <f t="shared" si="7"/>
        <v>1570105.5999999999</v>
      </c>
      <c r="G52" s="199">
        <f t="shared" si="7"/>
        <v>1807888</v>
      </c>
      <c r="H52" s="248">
        <f>+G52/D52*100</f>
        <v>100.62420930241618</v>
      </c>
      <c r="J52" s="31"/>
      <c r="K52" s="31"/>
    </row>
    <row r="53" spans="1:11" s="28" customFormat="1" ht="21" customHeight="1" x14ac:dyDescent="0.3">
      <c r="G53" s="38"/>
    </row>
    <row r="54" spans="1:11" ht="16.2" thickBot="1" x14ac:dyDescent="0.35">
      <c r="A54" s="35" t="s">
        <v>570</v>
      </c>
      <c r="G54" s="38"/>
      <c r="H54" s="235" t="s">
        <v>0</v>
      </c>
    </row>
    <row r="55" spans="1:11" ht="20.100000000000001" customHeight="1" x14ac:dyDescent="0.3">
      <c r="A55" s="1075" t="s">
        <v>1</v>
      </c>
      <c r="B55" s="1060" t="s">
        <v>402</v>
      </c>
      <c r="C55" s="1061"/>
      <c r="D55" s="1060" t="s">
        <v>450</v>
      </c>
      <c r="E55" s="1064"/>
      <c r="F55" s="1061"/>
      <c r="G55" s="1065" t="s">
        <v>507</v>
      </c>
      <c r="H55" s="1077" t="s">
        <v>508</v>
      </c>
    </row>
    <row r="56" spans="1:11" ht="35.1" customHeight="1" thickBot="1" x14ac:dyDescent="0.35">
      <c r="A56" s="1076"/>
      <c r="B56" s="236" t="s">
        <v>103</v>
      </c>
      <c r="C56" s="835" t="s">
        <v>520</v>
      </c>
      <c r="D56" s="236" t="s">
        <v>103</v>
      </c>
      <c r="E56" s="237" t="s">
        <v>556</v>
      </c>
      <c r="F56" s="238" t="s">
        <v>555</v>
      </c>
      <c r="G56" s="1066"/>
      <c r="H56" s="1078"/>
    </row>
    <row r="57" spans="1:11" ht="14.4" x14ac:dyDescent="0.3">
      <c r="A57" s="104" t="s">
        <v>29</v>
      </c>
      <c r="B57" s="107">
        <f>B9+B21+B33+B45</f>
        <v>1830757</v>
      </c>
      <c r="C57" s="153">
        <f t="shared" ref="C57:F63" si="8">C9+C21+C33+C45</f>
        <v>2366539.2000000002</v>
      </c>
      <c r="D57" s="107">
        <f t="shared" si="8"/>
        <v>1896257</v>
      </c>
      <c r="E57" s="152">
        <f t="shared" si="8"/>
        <v>2121915.88</v>
      </c>
      <c r="F57" s="152">
        <f t="shared" si="8"/>
        <v>1680256.95</v>
      </c>
      <c r="G57" s="817">
        <f t="shared" ref="G57:G63" si="9">+G9+G21+G33+G45</f>
        <v>1911836</v>
      </c>
      <c r="H57" s="106">
        <f>+G57/D57*100</f>
        <v>100.82156585315177</v>
      </c>
      <c r="J57" s="31"/>
      <c r="K57" s="40"/>
    </row>
    <row r="58" spans="1:11" ht="14.4" x14ac:dyDescent="0.3">
      <c r="A58" s="104" t="s">
        <v>91</v>
      </c>
      <c r="B58" s="107">
        <f t="shared" ref="B58:B63" si="10">B10+B22+B34+B46</f>
        <v>942750</v>
      </c>
      <c r="C58" s="154">
        <f t="shared" si="8"/>
        <v>856629.95</v>
      </c>
      <c r="D58" s="107">
        <f t="shared" si="8"/>
        <v>890765</v>
      </c>
      <c r="E58" s="152">
        <f t="shared" si="8"/>
        <v>948389.61999999988</v>
      </c>
      <c r="F58" s="152">
        <f t="shared" si="8"/>
        <v>653943.30000000005</v>
      </c>
      <c r="G58" s="817">
        <f t="shared" si="9"/>
        <v>2064260</v>
      </c>
      <c r="H58" s="106">
        <f t="shared" ref="H58:H63" si="11">+G58/D58*100</f>
        <v>231.74013348077213</v>
      </c>
      <c r="J58" s="31"/>
      <c r="K58" s="40"/>
    </row>
    <row r="59" spans="1:11" ht="14.4" x14ac:dyDescent="0.3">
      <c r="A59" s="104" t="s">
        <v>30</v>
      </c>
      <c r="B59" s="107">
        <f t="shared" si="10"/>
        <v>478297</v>
      </c>
      <c r="C59" s="154">
        <f t="shared" si="8"/>
        <v>501115.82</v>
      </c>
      <c r="D59" s="107">
        <f t="shared" si="8"/>
        <v>523282</v>
      </c>
      <c r="E59" s="152">
        <f t="shared" si="8"/>
        <v>554454.62999999989</v>
      </c>
      <c r="F59" s="152">
        <f t="shared" si="8"/>
        <v>420331.5</v>
      </c>
      <c r="G59" s="817">
        <f t="shared" si="9"/>
        <v>540676</v>
      </c>
      <c r="H59" s="106">
        <f t="shared" si="11"/>
        <v>103.32402031791655</v>
      </c>
      <c r="J59" s="31"/>
      <c r="K59" s="40"/>
    </row>
    <row r="60" spans="1:11" ht="14.4" x14ac:dyDescent="0.3">
      <c r="A60" s="104" t="s">
        <v>31</v>
      </c>
      <c r="B60" s="107">
        <f t="shared" si="10"/>
        <v>731893</v>
      </c>
      <c r="C60" s="154">
        <f t="shared" si="8"/>
        <v>700359.67</v>
      </c>
      <c r="D60" s="107">
        <f t="shared" si="8"/>
        <v>693629</v>
      </c>
      <c r="E60" s="152">
        <f t="shared" si="8"/>
        <v>860212.44</v>
      </c>
      <c r="F60" s="152">
        <f t="shared" si="8"/>
        <v>736072.93</v>
      </c>
      <c r="G60" s="817">
        <f t="shared" si="9"/>
        <v>950003</v>
      </c>
      <c r="H60" s="106">
        <f t="shared" si="11"/>
        <v>136.96125738687397</v>
      </c>
      <c r="J60" s="31"/>
      <c r="K60" s="40"/>
    </row>
    <row r="61" spans="1:11" ht="14.4" x14ac:dyDescent="0.3">
      <c r="A61" s="104" t="s">
        <v>33</v>
      </c>
      <c r="B61" s="107">
        <f t="shared" si="10"/>
        <v>28220</v>
      </c>
      <c r="C61" s="154">
        <f t="shared" si="8"/>
        <v>28220</v>
      </c>
      <c r="D61" s="107">
        <f t="shared" si="8"/>
        <v>28140</v>
      </c>
      <c r="E61" s="152">
        <f t="shared" si="8"/>
        <v>28680</v>
      </c>
      <c r="F61" s="152">
        <f t="shared" si="8"/>
        <v>21645</v>
      </c>
      <c r="G61" s="817">
        <f t="shared" si="9"/>
        <v>29500</v>
      </c>
      <c r="H61" s="106">
        <f t="shared" si="11"/>
        <v>104.83297796730633</v>
      </c>
      <c r="J61" s="31"/>
      <c r="K61" s="40"/>
    </row>
    <row r="62" spans="1:11" ht="14.4" x14ac:dyDescent="0.3">
      <c r="A62" s="104" t="s">
        <v>37</v>
      </c>
      <c r="B62" s="107">
        <f t="shared" si="10"/>
        <v>516965</v>
      </c>
      <c r="C62" s="103">
        <f t="shared" si="8"/>
        <v>387415.4</v>
      </c>
      <c r="D62" s="107">
        <f t="shared" si="8"/>
        <v>516965</v>
      </c>
      <c r="E62" s="152">
        <f t="shared" si="8"/>
        <v>558023.79</v>
      </c>
      <c r="F62" s="152">
        <f t="shared" si="8"/>
        <v>457337.06000000006</v>
      </c>
      <c r="G62" s="817">
        <f t="shared" si="9"/>
        <v>576965</v>
      </c>
      <c r="H62" s="106">
        <f t="shared" si="11"/>
        <v>111.60620158037777</v>
      </c>
      <c r="J62" s="31"/>
      <c r="K62" s="40"/>
    </row>
    <row r="63" spans="1:11" ht="15" thickBot="1" x14ac:dyDescent="0.35">
      <c r="A63" s="355" t="s">
        <v>257</v>
      </c>
      <c r="B63" s="107">
        <f t="shared" si="10"/>
        <v>115754</v>
      </c>
      <c r="C63" s="103">
        <f t="shared" si="8"/>
        <v>158772.74</v>
      </c>
      <c r="D63" s="107">
        <f t="shared" si="8"/>
        <v>189687</v>
      </c>
      <c r="E63" s="152">
        <f t="shared" si="8"/>
        <v>203611.21000000002</v>
      </c>
      <c r="F63" s="152">
        <f t="shared" si="8"/>
        <v>152825.11000000002</v>
      </c>
      <c r="G63" s="817">
        <f t="shared" si="9"/>
        <v>309816</v>
      </c>
      <c r="H63" s="701">
        <f t="shared" si="11"/>
        <v>163.33011750937069</v>
      </c>
      <c r="J63" s="31"/>
      <c r="K63" s="40"/>
    </row>
    <row r="64" spans="1:11" ht="31.8" thickBot="1" x14ac:dyDescent="0.35">
      <c r="A64" s="242" t="s">
        <v>333</v>
      </c>
      <c r="B64" s="243">
        <f t="shared" ref="B64:G64" si="12">SUM(B57:B63)</f>
        <v>4644636</v>
      </c>
      <c r="C64" s="244">
        <f t="shared" si="12"/>
        <v>4999052.7800000012</v>
      </c>
      <c r="D64" s="245">
        <f t="shared" si="12"/>
        <v>4738725</v>
      </c>
      <c r="E64" s="246">
        <f t="shared" si="12"/>
        <v>5275287.57</v>
      </c>
      <c r="F64" s="247">
        <f t="shared" si="12"/>
        <v>4122411.85</v>
      </c>
      <c r="G64" s="199">
        <f t="shared" si="12"/>
        <v>6383056</v>
      </c>
      <c r="H64" s="248">
        <f>+G64/D64*100</f>
        <v>134.69986124959772</v>
      </c>
      <c r="K64" s="40"/>
    </row>
    <row r="65" spans="3:7" x14ac:dyDescent="0.3">
      <c r="G65" s="38"/>
    </row>
    <row r="66" spans="3:7" x14ac:dyDescent="0.3">
      <c r="C66" s="38"/>
      <c r="E66" s="38"/>
      <c r="F66" s="38"/>
      <c r="G66" s="38"/>
    </row>
    <row r="67" spans="3:7" x14ac:dyDescent="0.3">
      <c r="E67" s="235"/>
      <c r="G67" s="38"/>
    </row>
    <row r="68" spans="3:7" x14ac:dyDescent="0.3">
      <c r="G68" s="38"/>
    </row>
    <row r="69" spans="3:7" x14ac:dyDescent="0.3">
      <c r="G69" s="38"/>
    </row>
    <row r="70" spans="3:7" x14ac:dyDescent="0.3">
      <c r="G70" s="38"/>
    </row>
    <row r="71" spans="3:7" x14ac:dyDescent="0.3">
      <c r="G71" s="38"/>
    </row>
    <row r="72" spans="3:7" x14ac:dyDescent="0.3">
      <c r="G72" s="38"/>
    </row>
    <row r="73" spans="3:7" x14ac:dyDescent="0.3">
      <c r="G73" s="38"/>
    </row>
    <row r="74" spans="3:7" x14ac:dyDescent="0.3">
      <c r="G74" s="38"/>
    </row>
    <row r="75" spans="3:7" x14ac:dyDescent="0.3">
      <c r="G75" s="38"/>
    </row>
    <row r="76" spans="3:7" x14ac:dyDescent="0.3">
      <c r="G76" s="38"/>
    </row>
    <row r="77" spans="3:7" x14ac:dyDescent="0.3">
      <c r="G77" s="38"/>
    </row>
    <row r="78" spans="3:7" x14ac:dyDescent="0.3">
      <c r="G78" s="38"/>
    </row>
    <row r="79" spans="3:7" x14ac:dyDescent="0.3">
      <c r="G79" s="38"/>
    </row>
    <row r="80" spans="3:7" x14ac:dyDescent="0.3">
      <c r="G80" s="38"/>
    </row>
    <row r="81" spans="7:7" x14ac:dyDescent="0.3">
      <c r="G81" s="38"/>
    </row>
    <row r="82" spans="7:7" x14ac:dyDescent="0.3">
      <c r="G82" s="38"/>
    </row>
    <row r="83" spans="7:7" x14ac:dyDescent="0.3">
      <c r="G83" s="38"/>
    </row>
    <row r="84" spans="7:7" x14ac:dyDescent="0.3">
      <c r="G84" s="38"/>
    </row>
    <row r="85" spans="7:7" x14ac:dyDescent="0.3">
      <c r="G85" s="38"/>
    </row>
    <row r="86" spans="7:7" x14ac:dyDescent="0.3">
      <c r="G86" s="38"/>
    </row>
    <row r="87" spans="7:7" x14ac:dyDescent="0.3">
      <c r="G87" s="38"/>
    </row>
    <row r="88" spans="7:7" x14ac:dyDescent="0.3">
      <c r="G88" s="38"/>
    </row>
    <row r="89" spans="7:7" x14ac:dyDescent="0.3">
      <c r="G89" s="38"/>
    </row>
    <row r="90" spans="7:7" x14ac:dyDescent="0.3">
      <c r="G90" s="38"/>
    </row>
    <row r="91" spans="7:7" x14ac:dyDescent="0.3">
      <c r="G91" s="38"/>
    </row>
    <row r="92" spans="7:7" x14ac:dyDescent="0.3">
      <c r="G92" s="38"/>
    </row>
    <row r="93" spans="7:7" x14ac:dyDescent="0.3">
      <c r="G93" s="38"/>
    </row>
    <row r="94" spans="7:7" x14ac:dyDescent="0.3">
      <c r="G94" s="38"/>
    </row>
    <row r="95" spans="7:7" x14ac:dyDescent="0.3">
      <c r="G95" s="38"/>
    </row>
    <row r="96" spans="7:7" x14ac:dyDescent="0.3">
      <c r="G96" s="38"/>
    </row>
    <row r="97" spans="7:7" x14ac:dyDescent="0.3">
      <c r="G97" s="38"/>
    </row>
    <row r="98" spans="7:7" x14ac:dyDescent="0.3">
      <c r="G98" s="38"/>
    </row>
    <row r="99" spans="7:7" x14ac:dyDescent="0.3">
      <c r="G99" s="38"/>
    </row>
    <row r="100" spans="7:7" x14ac:dyDescent="0.3">
      <c r="G100" s="38"/>
    </row>
    <row r="101" spans="7:7" x14ac:dyDescent="0.3">
      <c r="G101" s="38"/>
    </row>
    <row r="102" spans="7:7" x14ac:dyDescent="0.3">
      <c r="G102" s="38"/>
    </row>
    <row r="103" spans="7:7" x14ac:dyDescent="0.3">
      <c r="G103" s="38"/>
    </row>
    <row r="104" spans="7:7" x14ac:dyDescent="0.3">
      <c r="G104" s="38"/>
    </row>
    <row r="105" spans="7:7" x14ac:dyDescent="0.3">
      <c r="G105" s="38"/>
    </row>
    <row r="106" spans="7:7" x14ac:dyDescent="0.3">
      <c r="G106" s="38"/>
    </row>
    <row r="107" spans="7:7" x14ac:dyDescent="0.3">
      <c r="G107" s="38"/>
    </row>
    <row r="108" spans="7:7" x14ac:dyDescent="0.3">
      <c r="G108" s="38"/>
    </row>
    <row r="109" spans="7:7" x14ac:dyDescent="0.3">
      <c r="G109" s="38"/>
    </row>
    <row r="110" spans="7:7" x14ac:dyDescent="0.3">
      <c r="G110" s="38"/>
    </row>
    <row r="111" spans="7:7" x14ac:dyDescent="0.3">
      <c r="G111" s="38"/>
    </row>
    <row r="112" spans="7:7" x14ac:dyDescent="0.3">
      <c r="G112" s="38"/>
    </row>
    <row r="113" spans="7:7" x14ac:dyDescent="0.3">
      <c r="G113" s="38"/>
    </row>
    <row r="114" spans="7:7" x14ac:dyDescent="0.3">
      <c r="G114" s="38"/>
    </row>
    <row r="115" spans="7:7" x14ac:dyDescent="0.3">
      <c r="G115" s="38"/>
    </row>
    <row r="116" spans="7:7" x14ac:dyDescent="0.3">
      <c r="G116" s="38"/>
    </row>
    <row r="117" spans="7:7" x14ac:dyDescent="0.3">
      <c r="G117" s="38"/>
    </row>
    <row r="118" spans="7:7" x14ac:dyDescent="0.3">
      <c r="G118" s="38"/>
    </row>
    <row r="119" spans="7:7" x14ac:dyDescent="0.3">
      <c r="G119" s="38"/>
    </row>
    <row r="120" spans="7:7" x14ac:dyDescent="0.3">
      <c r="G120" s="38"/>
    </row>
    <row r="121" spans="7:7" x14ac:dyDescent="0.3">
      <c r="G121" s="38"/>
    </row>
    <row r="122" spans="7:7" x14ac:dyDescent="0.3">
      <c r="G122" s="38"/>
    </row>
    <row r="123" spans="7:7" x14ac:dyDescent="0.3">
      <c r="G123" s="38"/>
    </row>
    <row r="124" spans="7:7" x14ac:dyDescent="0.3">
      <c r="G124" s="38"/>
    </row>
    <row r="125" spans="7:7" x14ac:dyDescent="0.3">
      <c r="G125" s="38"/>
    </row>
    <row r="126" spans="7:7" x14ac:dyDescent="0.3">
      <c r="G126" s="38"/>
    </row>
    <row r="127" spans="7:7" x14ac:dyDescent="0.3">
      <c r="G127" s="38"/>
    </row>
    <row r="128" spans="7:7" x14ac:dyDescent="0.3">
      <c r="G128" s="38"/>
    </row>
    <row r="129" spans="7:7" x14ac:dyDescent="0.3">
      <c r="G129" s="38"/>
    </row>
    <row r="130" spans="7:7" x14ac:dyDescent="0.3">
      <c r="G130" s="38"/>
    </row>
    <row r="131" spans="7:7" x14ac:dyDescent="0.3">
      <c r="G131" s="38"/>
    </row>
    <row r="132" spans="7:7" x14ac:dyDescent="0.3">
      <c r="G132" s="38"/>
    </row>
    <row r="133" spans="7:7" x14ac:dyDescent="0.3">
      <c r="G133" s="38"/>
    </row>
    <row r="134" spans="7:7" x14ac:dyDescent="0.3">
      <c r="G134" s="38"/>
    </row>
    <row r="135" spans="7:7" x14ac:dyDescent="0.3">
      <c r="G135" s="38"/>
    </row>
    <row r="136" spans="7:7" x14ac:dyDescent="0.3">
      <c r="G136" s="38"/>
    </row>
    <row r="137" spans="7:7" x14ac:dyDescent="0.3">
      <c r="G137" s="38"/>
    </row>
    <row r="138" spans="7:7" x14ac:dyDescent="0.3">
      <c r="G138" s="38"/>
    </row>
    <row r="139" spans="7:7" x14ac:dyDescent="0.3">
      <c r="G139" s="38"/>
    </row>
    <row r="140" spans="7:7" x14ac:dyDescent="0.3">
      <c r="G140" s="38"/>
    </row>
    <row r="141" spans="7:7" x14ac:dyDescent="0.3">
      <c r="G141" s="38"/>
    </row>
    <row r="142" spans="7:7" x14ac:dyDescent="0.3">
      <c r="G142" s="38"/>
    </row>
    <row r="143" spans="7:7" x14ac:dyDescent="0.3">
      <c r="G143" s="38"/>
    </row>
    <row r="144" spans="7:7" x14ac:dyDescent="0.3">
      <c r="G144" s="38"/>
    </row>
    <row r="145" spans="7:7" x14ac:dyDescent="0.3">
      <c r="G145" s="38"/>
    </row>
    <row r="146" spans="7:7" x14ac:dyDescent="0.3">
      <c r="G146" s="38"/>
    </row>
    <row r="147" spans="7:7" x14ac:dyDescent="0.3">
      <c r="G147" s="38"/>
    </row>
    <row r="148" spans="7:7" x14ac:dyDescent="0.3">
      <c r="G148" s="38"/>
    </row>
    <row r="149" spans="7:7" x14ac:dyDescent="0.3">
      <c r="G149" s="38"/>
    </row>
    <row r="150" spans="7:7" x14ac:dyDescent="0.3">
      <c r="G150" s="38"/>
    </row>
    <row r="151" spans="7:7" x14ac:dyDescent="0.3">
      <c r="G151" s="38"/>
    </row>
    <row r="152" spans="7:7" x14ac:dyDescent="0.3">
      <c r="G152" s="38"/>
    </row>
    <row r="153" spans="7:7" x14ac:dyDescent="0.3">
      <c r="G153" s="38"/>
    </row>
    <row r="154" spans="7:7" x14ac:dyDescent="0.3">
      <c r="G154" s="38"/>
    </row>
    <row r="155" spans="7:7" x14ac:dyDescent="0.3">
      <c r="G155" s="38"/>
    </row>
    <row r="156" spans="7:7" x14ac:dyDescent="0.3">
      <c r="G156" s="38"/>
    </row>
    <row r="407" spans="1:8" x14ac:dyDescent="0.3">
      <c r="A407" s="44"/>
      <c r="B407" s="29"/>
      <c r="C407" s="29"/>
      <c r="D407" s="29"/>
      <c r="E407" s="29"/>
      <c r="F407" s="29"/>
      <c r="H407" s="29"/>
    </row>
    <row r="409" spans="1:8" x14ac:dyDescent="0.3">
      <c r="G409" s="31"/>
    </row>
  </sheetData>
  <mergeCells count="25">
    <mergeCell ref="B19:C19"/>
    <mergeCell ref="D19:F19"/>
    <mergeCell ref="G19:G20"/>
    <mergeCell ref="H19:H20"/>
    <mergeCell ref="A55:A56"/>
    <mergeCell ref="B55:C55"/>
    <mergeCell ref="D55:F55"/>
    <mergeCell ref="G55:G56"/>
    <mergeCell ref="H55:H56"/>
    <mergeCell ref="A7:A8"/>
    <mergeCell ref="B7:C7"/>
    <mergeCell ref="D7:F7"/>
    <mergeCell ref="H7:H8"/>
    <mergeCell ref="A43:A44"/>
    <mergeCell ref="B43:C43"/>
    <mergeCell ref="D43:F43"/>
    <mergeCell ref="H43:H44"/>
    <mergeCell ref="G7:G8"/>
    <mergeCell ref="A31:A32"/>
    <mergeCell ref="B31:C31"/>
    <mergeCell ref="D31:F31"/>
    <mergeCell ref="G31:G32"/>
    <mergeCell ref="H31:H32"/>
    <mergeCell ref="G43:G44"/>
    <mergeCell ref="A19:A20"/>
  </mergeCells>
  <pageMargins left="0.70866141732283472" right="0.70866141732283472" top="0.78740157480314965" bottom="0.39370078740157483" header="0.31496062992125984" footer="0.31496062992125984"/>
  <pageSetup paperSize="9" scale="62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M439"/>
  <sheetViews>
    <sheetView workbookViewId="0"/>
  </sheetViews>
  <sheetFormatPr defaultColWidth="9.109375" defaultRowHeight="13.8" x14ac:dyDescent="0.3"/>
  <cols>
    <col min="1" max="1" width="42.44140625" style="29" customWidth="1"/>
    <col min="2" max="2" width="14.6640625" style="38" customWidth="1"/>
    <col min="3" max="3" width="14.6640625" style="28" customWidth="1"/>
    <col min="4" max="4" width="14.6640625" style="38" customWidth="1"/>
    <col min="5" max="5" width="16.6640625" style="28" customWidth="1"/>
    <col min="6" max="6" width="14.6640625" style="28" customWidth="1"/>
    <col min="7" max="7" width="14.6640625" style="38" customWidth="1"/>
    <col min="8" max="8" width="10.6640625" style="37" customWidth="1"/>
    <col min="9" max="9" width="9.109375" style="29"/>
    <col min="10" max="10" width="14.88671875" style="31" bestFit="1" customWidth="1"/>
    <col min="11" max="12" width="11.33203125" style="29" bestFit="1" customWidth="1"/>
    <col min="13" max="16384" width="9.109375" style="29"/>
  </cols>
  <sheetData>
    <row r="1" spans="1:13" ht="15" customHeight="1" x14ac:dyDescent="0.3">
      <c r="A1" s="47"/>
    </row>
    <row r="2" spans="1:13" ht="24.9" customHeight="1" x14ac:dyDescent="0.45">
      <c r="A2" s="27" t="s">
        <v>511</v>
      </c>
    </row>
    <row r="3" spans="1:13" ht="15" customHeight="1" x14ac:dyDescent="0.3"/>
    <row r="4" spans="1:13" ht="20.100000000000001" customHeight="1" x14ac:dyDescent="0.35">
      <c r="A4" s="39" t="s">
        <v>39</v>
      </c>
    </row>
    <row r="5" spans="1:13" ht="15" customHeight="1" x14ac:dyDescent="0.35">
      <c r="A5" s="39"/>
    </row>
    <row r="6" spans="1:13" ht="15" customHeight="1" thickBot="1" x14ac:dyDescent="0.35">
      <c r="H6" s="235" t="s">
        <v>0</v>
      </c>
    </row>
    <row r="7" spans="1:13" ht="20.100000000000001" customHeight="1" x14ac:dyDescent="0.3">
      <c r="A7" s="1075" t="s">
        <v>1</v>
      </c>
      <c r="B7" s="1060" t="s">
        <v>402</v>
      </c>
      <c r="C7" s="1061"/>
      <c r="D7" s="1060" t="s">
        <v>450</v>
      </c>
      <c r="E7" s="1064"/>
      <c r="F7" s="1061"/>
      <c r="G7" s="1065" t="s">
        <v>507</v>
      </c>
      <c r="H7" s="1077" t="s">
        <v>508</v>
      </c>
    </row>
    <row r="8" spans="1:13" ht="35.1" customHeight="1" thickBot="1" x14ac:dyDescent="0.35">
      <c r="A8" s="1076"/>
      <c r="B8" s="236" t="s">
        <v>103</v>
      </c>
      <c r="C8" s="835" t="s">
        <v>520</v>
      </c>
      <c r="D8" s="236" t="s">
        <v>103</v>
      </c>
      <c r="E8" s="237" t="s">
        <v>556</v>
      </c>
      <c r="F8" s="238" t="s">
        <v>555</v>
      </c>
      <c r="G8" s="1066"/>
      <c r="H8" s="1078"/>
    </row>
    <row r="9" spans="1:13" ht="20.25" customHeight="1" x14ac:dyDescent="0.3">
      <c r="A9" s="104" t="s">
        <v>93</v>
      </c>
      <c r="B9" s="837">
        <f>+'01'!D22</f>
        <v>78132</v>
      </c>
      <c r="C9" s="838">
        <f>+'01'!E22</f>
        <v>64516.160000000003</v>
      </c>
      <c r="D9" s="836">
        <f>+'01'!F22</f>
        <v>75132</v>
      </c>
      <c r="E9" s="982">
        <f>+'01'!G22</f>
        <v>81125.149999999994</v>
      </c>
      <c r="F9" s="154">
        <f>+'01'!H22</f>
        <v>49728</v>
      </c>
      <c r="G9" s="744">
        <f>+'01'!I22</f>
        <v>75132</v>
      </c>
      <c r="H9" s="106">
        <f>G9/D9*100</f>
        <v>100</v>
      </c>
      <c r="I9" s="31"/>
      <c r="K9" s="31"/>
      <c r="L9" s="31"/>
      <c r="M9" s="31"/>
    </row>
    <row r="10" spans="1:13" s="699" customFormat="1" ht="21.75" customHeight="1" x14ac:dyDescent="0.3">
      <c r="A10" s="104" t="s">
        <v>94</v>
      </c>
      <c r="B10" s="839">
        <f>+'02'!D24</f>
        <v>86609</v>
      </c>
      <c r="C10" s="103">
        <f>+'02'!E24</f>
        <v>63195.24</v>
      </c>
      <c r="D10" s="836">
        <f>+'02'!F24</f>
        <v>85155</v>
      </c>
      <c r="E10" s="983">
        <f>+'02'!G24</f>
        <v>83453.119999999995</v>
      </c>
      <c r="F10" s="154">
        <f>+'02'!H24</f>
        <v>44415.529999999992</v>
      </c>
      <c r="G10" s="744">
        <f>+'02'!I24</f>
        <v>80053</v>
      </c>
      <c r="H10" s="106">
        <f t="shared" ref="H10:H32" si="0">G10/D10*100</f>
        <v>94.0085726029006</v>
      </c>
      <c r="I10" s="31"/>
      <c r="J10" s="31"/>
      <c r="K10" s="31"/>
      <c r="L10" s="31"/>
      <c r="M10" s="31"/>
    </row>
    <row r="11" spans="1:13" ht="20.25" customHeight="1" x14ac:dyDescent="0.3">
      <c r="A11" s="104" t="s">
        <v>28</v>
      </c>
      <c r="B11" s="839">
        <f>+'03'!D12</f>
        <v>60874</v>
      </c>
      <c r="C11" s="103">
        <f>+'03'!E12</f>
        <v>56358.439999999995</v>
      </c>
      <c r="D11" s="836">
        <f>+'03'!F12</f>
        <v>63074</v>
      </c>
      <c r="E11" s="983">
        <f>+'03'!G12</f>
        <v>69745.960000000006</v>
      </c>
      <c r="F11" s="154">
        <f>+'03'!H12</f>
        <v>45312.86</v>
      </c>
      <c r="G11" s="744">
        <f>+'03'!I12</f>
        <v>73544</v>
      </c>
      <c r="H11" s="106">
        <f t="shared" si="0"/>
        <v>116.59954973523163</v>
      </c>
      <c r="I11" s="31"/>
      <c r="J11" s="1054"/>
      <c r="K11" s="31"/>
      <c r="L11" s="31"/>
      <c r="M11" s="31"/>
    </row>
    <row r="12" spans="1:13" s="699" customFormat="1" ht="21" customHeight="1" x14ac:dyDescent="0.3">
      <c r="A12" s="104" t="s">
        <v>29</v>
      </c>
      <c r="B12" s="839">
        <f>+'04'!D23</f>
        <v>2847322</v>
      </c>
      <c r="C12" s="103">
        <f>+'04'!E23</f>
        <v>3374909.2</v>
      </c>
      <c r="D12" s="836">
        <f>+'04'!F23</f>
        <v>2912822</v>
      </c>
      <c r="E12" s="983">
        <f>+'04'!G23</f>
        <v>3145400.7199999997</v>
      </c>
      <c r="F12" s="154">
        <f>+'04'!H23</f>
        <v>2685807.0100000002</v>
      </c>
      <c r="G12" s="744">
        <f>+'04'!I23</f>
        <v>2928401</v>
      </c>
      <c r="H12" s="106">
        <f t="shared" si="0"/>
        <v>100.53484215650666</v>
      </c>
      <c r="I12" s="31"/>
      <c r="J12" s="31"/>
      <c r="K12" s="31"/>
      <c r="L12" s="31"/>
      <c r="M12" s="31"/>
    </row>
    <row r="13" spans="1:13" ht="20.25" customHeight="1" x14ac:dyDescent="0.3">
      <c r="A13" s="104" t="s">
        <v>91</v>
      </c>
      <c r="B13" s="839">
        <f>+'05'!D113</f>
        <v>1170643</v>
      </c>
      <c r="C13" s="103">
        <f>+'05'!E113</f>
        <v>997965.77999999991</v>
      </c>
      <c r="D13" s="836">
        <f>+'05'!F113</f>
        <v>1121143</v>
      </c>
      <c r="E13" s="983">
        <f>+'05'!G113</f>
        <v>1144401.8499999999</v>
      </c>
      <c r="F13" s="154">
        <f>+'05'!H113</f>
        <v>790165.08</v>
      </c>
      <c r="G13" s="744">
        <f>+'05'!I113</f>
        <v>2299302</v>
      </c>
      <c r="H13" s="106">
        <f t="shared" si="0"/>
        <v>205.08552432651319</v>
      </c>
      <c r="I13" s="31"/>
      <c r="J13" s="1054"/>
      <c r="K13" s="31"/>
      <c r="L13" s="31"/>
      <c r="M13" s="31"/>
    </row>
    <row r="14" spans="1:13" ht="20.25" customHeight="1" x14ac:dyDescent="0.3">
      <c r="A14" s="104" t="s">
        <v>30</v>
      </c>
      <c r="B14" s="839">
        <f>+'06'!D76</f>
        <v>548576</v>
      </c>
      <c r="C14" s="103">
        <f>+'06'!E76</f>
        <v>572591.75999999989</v>
      </c>
      <c r="D14" s="836">
        <f>+'06'!F76</f>
        <v>592503</v>
      </c>
      <c r="E14" s="983">
        <f>+'06'!G76</f>
        <v>627234.7699999999</v>
      </c>
      <c r="F14" s="154">
        <f>+'06'!H76</f>
        <v>472052.26</v>
      </c>
      <c r="G14" s="744">
        <f>+'06'!I76</f>
        <v>615650</v>
      </c>
      <c r="H14" s="106">
        <f t="shared" si="0"/>
        <v>103.90664688617611</v>
      </c>
      <c r="I14" s="31"/>
      <c r="K14" s="31"/>
      <c r="L14" s="31"/>
      <c r="M14" s="31"/>
    </row>
    <row r="15" spans="1:13" ht="20.25" customHeight="1" x14ac:dyDescent="0.3">
      <c r="A15" s="104" t="s">
        <v>31</v>
      </c>
      <c r="B15" s="839">
        <f>+'07'!D22</f>
        <v>815772</v>
      </c>
      <c r="C15" s="103">
        <f>+'07'!E22</f>
        <v>782059.95</v>
      </c>
      <c r="D15" s="836">
        <f>+'07'!F22</f>
        <v>755013</v>
      </c>
      <c r="E15" s="983">
        <f>+'07'!G22</f>
        <v>926181.5199999999</v>
      </c>
      <c r="F15" s="154">
        <f>+'07'!H22</f>
        <v>793747.1</v>
      </c>
      <c r="G15" s="744">
        <f>+'07'!I22</f>
        <v>980361</v>
      </c>
      <c r="H15" s="106">
        <f t="shared" si="0"/>
        <v>129.84690329835379</v>
      </c>
      <c r="I15" s="31"/>
      <c r="K15" s="31"/>
      <c r="L15" s="31"/>
      <c r="M15" s="31"/>
    </row>
    <row r="16" spans="1:13" ht="20.25" customHeight="1" x14ac:dyDescent="0.3">
      <c r="A16" s="104" t="s">
        <v>32</v>
      </c>
      <c r="B16" s="839">
        <f>+'08'!D24</f>
        <v>17218</v>
      </c>
      <c r="C16" s="103">
        <f>+'08'!E24</f>
        <v>12584.16</v>
      </c>
      <c r="D16" s="836">
        <f>+'08'!F24</f>
        <v>22650</v>
      </c>
      <c r="E16" s="983">
        <f>+'08'!G24</f>
        <v>16178.359999999999</v>
      </c>
      <c r="F16" s="154">
        <f>+'08'!H24</f>
        <v>4095.8</v>
      </c>
      <c r="G16" s="744">
        <f>+'08'!I24</f>
        <v>9100</v>
      </c>
      <c r="H16" s="106">
        <f t="shared" si="0"/>
        <v>40.176600441501101</v>
      </c>
      <c r="I16" s="31"/>
      <c r="K16" s="31"/>
      <c r="L16" s="31"/>
      <c r="M16" s="31"/>
    </row>
    <row r="17" spans="1:13" ht="20.25" customHeight="1" x14ac:dyDescent="0.3">
      <c r="A17" s="104" t="s">
        <v>33</v>
      </c>
      <c r="B17" s="839">
        <f>+'09'!D32</f>
        <v>76451</v>
      </c>
      <c r="C17" s="103">
        <f>+'09'!E32</f>
        <v>79934.66</v>
      </c>
      <c r="D17" s="836">
        <f>+'09'!F32</f>
        <v>77399</v>
      </c>
      <c r="E17" s="983">
        <f>+'09'!G32</f>
        <v>72375.28</v>
      </c>
      <c r="F17" s="154">
        <f>+'09'!H32</f>
        <v>61846.63</v>
      </c>
      <c r="G17" s="744">
        <f>+'09'!I32</f>
        <v>76832</v>
      </c>
      <c r="H17" s="106">
        <f t="shared" si="0"/>
        <v>99.267432395767386</v>
      </c>
      <c r="I17" s="31"/>
      <c r="K17" s="31"/>
      <c r="L17" s="31"/>
      <c r="M17" s="31"/>
    </row>
    <row r="18" spans="1:13" ht="20.25" customHeight="1" x14ac:dyDescent="0.3">
      <c r="A18" s="104" t="s">
        <v>34</v>
      </c>
      <c r="B18" s="839">
        <f>+'10'!D26</f>
        <v>47471</v>
      </c>
      <c r="C18" s="103">
        <f>+'10'!E26</f>
        <v>53659.619999999995</v>
      </c>
      <c r="D18" s="836">
        <f>+'10'!F26</f>
        <v>56471</v>
      </c>
      <c r="E18" s="983">
        <f>+'10'!G26</f>
        <v>91532.48000000001</v>
      </c>
      <c r="F18" s="154">
        <f>+'10'!H26</f>
        <v>25540.02</v>
      </c>
      <c r="G18" s="744">
        <f>+'10'!I26</f>
        <v>62971</v>
      </c>
      <c r="H18" s="106">
        <f t="shared" si="0"/>
        <v>111.51033273715711</v>
      </c>
      <c r="I18" s="31"/>
      <c r="K18" s="31"/>
      <c r="L18" s="31"/>
      <c r="M18" s="31"/>
    </row>
    <row r="19" spans="1:13" ht="20.25" customHeight="1" x14ac:dyDescent="0.3">
      <c r="A19" s="104" t="s">
        <v>35</v>
      </c>
      <c r="B19" s="839">
        <f>+'11'!D36</f>
        <v>20340</v>
      </c>
      <c r="C19" s="103">
        <f>+'11'!E36</f>
        <v>43791.77</v>
      </c>
      <c r="D19" s="836">
        <f>+'11'!F36</f>
        <v>24340</v>
      </c>
      <c r="E19" s="983">
        <f>+'11'!G36</f>
        <v>75904.05</v>
      </c>
      <c r="F19" s="154">
        <f>+'11'!H36</f>
        <v>16897.480000000003</v>
      </c>
      <c r="G19" s="744">
        <f>+'11'!I36</f>
        <v>30742</v>
      </c>
      <c r="H19" s="106">
        <f t="shared" si="0"/>
        <v>126.30238290879213</v>
      </c>
      <c r="I19" s="31"/>
      <c r="K19" s="31"/>
      <c r="L19" s="31"/>
      <c r="M19" s="31"/>
    </row>
    <row r="20" spans="1:13" ht="20.25" customHeight="1" x14ac:dyDescent="0.3">
      <c r="A20" s="104" t="s">
        <v>36</v>
      </c>
      <c r="B20" s="839">
        <f>+'13'!C17</f>
        <v>4000</v>
      </c>
      <c r="C20" s="103">
        <f>+'13'!D17</f>
        <v>1299.97</v>
      </c>
      <c r="D20" s="836">
        <f>+'13'!E17</f>
        <v>2700</v>
      </c>
      <c r="E20" s="983">
        <f>+'13'!F17</f>
        <v>2043.9099999999999</v>
      </c>
      <c r="F20" s="154">
        <f>+'13'!G17</f>
        <v>647.35</v>
      </c>
      <c r="G20" s="744">
        <f>+'13'!H17</f>
        <v>1600</v>
      </c>
      <c r="H20" s="106">
        <f t="shared" si="0"/>
        <v>59.259259259259252</v>
      </c>
      <c r="I20" s="31"/>
      <c r="K20" s="31"/>
      <c r="L20" s="31"/>
      <c r="M20" s="31"/>
    </row>
    <row r="21" spans="1:13" ht="20.25" customHeight="1" x14ac:dyDescent="0.3">
      <c r="A21" s="104" t="s">
        <v>52</v>
      </c>
      <c r="B21" s="839">
        <f>+'14'!D25</f>
        <v>743459</v>
      </c>
      <c r="C21" s="103">
        <f>+'14'!E25</f>
        <v>671089.38</v>
      </c>
      <c r="D21" s="836">
        <f>+'14'!F25</f>
        <v>763980</v>
      </c>
      <c r="E21" s="983">
        <f>+'14'!G25</f>
        <v>821084.49999999988</v>
      </c>
      <c r="F21" s="154">
        <f>+'14'!H25</f>
        <v>578776.27</v>
      </c>
      <c r="G21" s="744">
        <f>+'14'!I25</f>
        <v>836685</v>
      </c>
      <c r="H21" s="106">
        <f t="shared" si="0"/>
        <v>109.51661038247073</v>
      </c>
      <c r="I21" s="31"/>
      <c r="K21" s="31"/>
      <c r="L21" s="31"/>
      <c r="M21" s="31"/>
    </row>
    <row r="22" spans="1:13" ht="20.25" customHeight="1" x14ac:dyDescent="0.3">
      <c r="A22" s="104" t="s">
        <v>78</v>
      </c>
      <c r="B22" s="839">
        <f>+'15'!C10</f>
        <v>1422</v>
      </c>
      <c r="C22" s="103">
        <f>+'15'!D10</f>
        <v>2342.0500000000002</v>
      </c>
      <c r="D22" s="836">
        <f>+'15'!E10</f>
        <v>1543</v>
      </c>
      <c r="E22" s="983">
        <f>+'15'!F10</f>
        <v>3872.44</v>
      </c>
      <c r="F22" s="154">
        <f>+'15'!G10</f>
        <v>1525.36</v>
      </c>
      <c r="G22" s="744">
        <f>+'15'!H10</f>
        <v>5043</v>
      </c>
      <c r="H22" s="106">
        <f t="shared" si="0"/>
        <v>326.83084899546338</v>
      </c>
      <c r="I22" s="31"/>
      <c r="K22" s="31"/>
      <c r="L22" s="31"/>
      <c r="M22" s="31"/>
    </row>
    <row r="23" spans="1:13" ht="20.25" customHeight="1" x14ac:dyDescent="0.3">
      <c r="A23" s="104" t="s">
        <v>53</v>
      </c>
      <c r="B23" s="839">
        <f>+'16'!C11</f>
        <v>100</v>
      </c>
      <c r="C23" s="103">
        <f>+'16'!D11</f>
        <v>0</v>
      </c>
      <c r="D23" s="836">
        <f>+'16'!E11</f>
        <v>100</v>
      </c>
      <c r="E23" s="983">
        <f>+'16'!F11</f>
        <v>52.46</v>
      </c>
      <c r="F23" s="154">
        <f>+'16'!G11</f>
        <v>0</v>
      </c>
      <c r="G23" s="744">
        <f>+'16'!H11</f>
        <v>250</v>
      </c>
      <c r="H23" s="106">
        <f t="shared" si="0"/>
        <v>250</v>
      </c>
      <c r="I23" s="31"/>
      <c r="K23" s="31"/>
      <c r="L23" s="31"/>
      <c r="M23" s="31"/>
    </row>
    <row r="24" spans="1:13" ht="20.25" customHeight="1" x14ac:dyDescent="0.3">
      <c r="A24" s="104" t="s">
        <v>37</v>
      </c>
      <c r="B24" s="839">
        <f>+'17'!D100</f>
        <v>535445</v>
      </c>
      <c r="C24" s="103">
        <f>+'17'!E100</f>
        <v>502021.26</v>
      </c>
      <c r="D24" s="836">
        <f>+'17'!F100</f>
        <v>540445</v>
      </c>
      <c r="E24" s="983">
        <f>+'17'!G100</f>
        <v>730061.25</v>
      </c>
      <c r="F24" s="154">
        <f>+'17'!H100</f>
        <v>608808.58000000007</v>
      </c>
      <c r="G24" s="744">
        <f>+'17'!I100</f>
        <v>600445</v>
      </c>
      <c r="H24" s="106">
        <f t="shared" si="0"/>
        <v>111.10196227183155</v>
      </c>
      <c r="I24" s="31"/>
      <c r="K24" s="31"/>
      <c r="L24" s="31"/>
      <c r="M24" s="31"/>
    </row>
    <row r="25" spans="1:13" ht="20.25" customHeight="1" x14ac:dyDescent="0.3">
      <c r="A25" s="104" t="s">
        <v>79</v>
      </c>
      <c r="B25" s="839">
        <f>+'18'!C18</f>
        <v>3984</v>
      </c>
      <c r="C25" s="103">
        <f>+'18'!D18</f>
        <v>3911.88</v>
      </c>
      <c r="D25" s="836">
        <f>+'18'!E18</f>
        <v>3984</v>
      </c>
      <c r="E25" s="983">
        <f>+'18'!F18</f>
        <v>5513.5</v>
      </c>
      <c r="F25" s="154">
        <f>+'18'!G18</f>
        <v>3059.28</v>
      </c>
      <c r="G25" s="744">
        <f>+'18'!H18</f>
        <v>4134</v>
      </c>
      <c r="H25" s="106">
        <f>G25/D25*100</f>
        <v>103.76506024096386</v>
      </c>
      <c r="I25" s="31"/>
      <c r="K25" s="31"/>
      <c r="L25" s="31"/>
      <c r="M25" s="31"/>
    </row>
    <row r="26" spans="1:13" ht="20.25" customHeight="1" x14ac:dyDescent="0.3">
      <c r="A26" s="104" t="s">
        <v>64</v>
      </c>
      <c r="B26" s="839">
        <v>0</v>
      </c>
      <c r="C26" s="103">
        <v>26140.38</v>
      </c>
      <c r="D26" s="836">
        <v>0</v>
      </c>
      <c r="E26" s="983">
        <v>35968.589999999997</v>
      </c>
      <c r="F26" s="154">
        <v>18740.45</v>
      </c>
      <c r="G26" s="744">
        <v>0</v>
      </c>
      <c r="H26" s="701" t="s">
        <v>58</v>
      </c>
      <c r="I26" s="31"/>
      <c r="K26" s="31"/>
      <c r="L26" s="31"/>
      <c r="M26" s="31"/>
    </row>
    <row r="27" spans="1:13" ht="20.25" customHeight="1" x14ac:dyDescent="0.3">
      <c r="A27" s="104" t="s">
        <v>38</v>
      </c>
      <c r="B27" s="839">
        <f>+'23'!C12</f>
        <v>9242</v>
      </c>
      <c r="C27" s="103">
        <f>+'23'!D12</f>
        <v>68821.27</v>
      </c>
      <c r="D27" s="836">
        <f>+'23'!E12</f>
        <v>9242</v>
      </c>
      <c r="E27" s="983">
        <f>+'23'!F12</f>
        <v>96436.160000000003</v>
      </c>
      <c r="F27" s="154">
        <f>+'23'!G12</f>
        <v>91932.180000000008</v>
      </c>
      <c r="G27" s="744">
        <f>+'23'!H12</f>
        <v>9422</v>
      </c>
      <c r="H27" s="106">
        <f t="shared" si="0"/>
        <v>101.94763038303398</v>
      </c>
      <c r="I27" s="31"/>
      <c r="K27" s="31"/>
      <c r="L27" s="31"/>
      <c r="M27" s="31"/>
    </row>
    <row r="28" spans="1:13" ht="20.25" customHeight="1" x14ac:dyDescent="0.3">
      <c r="A28" s="104" t="s">
        <v>80</v>
      </c>
      <c r="B28" s="839">
        <f>+'24'!C12</f>
        <v>6878</v>
      </c>
      <c r="C28" s="103">
        <f>+'24'!D12</f>
        <v>8198.36</v>
      </c>
      <c r="D28" s="836">
        <f>+'24'!E12</f>
        <v>14878</v>
      </c>
      <c r="E28" s="983">
        <f>+'24'!F12</f>
        <v>17693.36</v>
      </c>
      <c r="F28" s="154">
        <f>+'24'!G12</f>
        <v>2812.63</v>
      </c>
      <c r="G28" s="744">
        <f>+'24'!H12</f>
        <v>7400</v>
      </c>
      <c r="H28" s="106">
        <f t="shared" si="0"/>
        <v>49.737867993009814</v>
      </c>
      <c r="I28" s="31"/>
      <c r="K28" s="31"/>
      <c r="L28" s="31"/>
      <c r="M28" s="31"/>
    </row>
    <row r="29" spans="1:13" ht="20.25" customHeight="1" x14ac:dyDescent="0.3">
      <c r="A29" s="104" t="s">
        <v>81</v>
      </c>
      <c r="B29" s="839">
        <f>+'25'!D23</f>
        <v>18326</v>
      </c>
      <c r="C29" s="103">
        <f>+'25'!E23</f>
        <v>15560.96</v>
      </c>
      <c r="D29" s="836">
        <f>+'25'!F23</f>
        <v>21515</v>
      </c>
      <c r="E29" s="983">
        <f>+'25'!G23</f>
        <v>25242.690000000002</v>
      </c>
      <c r="F29" s="154">
        <f>+'25'!H23</f>
        <v>13487.6</v>
      </c>
      <c r="G29" s="744">
        <f>+'25'!I23</f>
        <v>24200</v>
      </c>
      <c r="H29" s="106">
        <f t="shared" si="0"/>
        <v>112.47966534975598</v>
      </c>
      <c r="I29" s="31"/>
      <c r="K29" s="31"/>
      <c r="L29" s="31"/>
      <c r="M29" s="31"/>
    </row>
    <row r="30" spans="1:13" ht="20.25" customHeight="1" x14ac:dyDescent="0.3">
      <c r="A30" s="104" t="s">
        <v>257</v>
      </c>
      <c r="B30" s="839">
        <f>+'26'!D35</f>
        <v>5330594</v>
      </c>
      <c r="C30" s="103">
        <f>+'26'!E35</f>
        <v>5396625.4799999995</v>
      </c>
      <c r="D30" s="836">
        <f>+'26'!F35</f>
        <v>5892057</v>
      </c>
      <c r="E30" s="983">
        <f>+'26'!G35</f>
        <v>6304519.1600000001</v>
      </c>
      <c r="F30" s="154">
        <f>+'26'!H35</f>
        <v>4541985.3199999994</v>
      </c>
      <c r="G30" s="744">
        <f>+'26'!I35</f>
        <v>6666410</v>
      </c>
      <c r="H30" s="106">
        <f t="shared" si="0"/>
        <v>113.14232024571385</v>
      </c>
      <c r="I30" s="31"/>
      <c r="K30" s="31"/>
      <c r="L30" s="31"/>
      <c r="M30" s="31"/>
    </row>
    <row r="31" spans="1:13" ht="20.25" customHeight="1" thickBot="1" x14ac:dyDescent="0.35">
      <c r="A31" s="104" t="s">
        <v>258</v>
      </c>
      <c r="B31" s="840">
        <f>+'27'!C18</f>
        <v>15150</v>
      </c>
      <c r="C31" s="841">
        <f>+'27'!D18</f>
        <v>1521.8000000000002</v>
      </c>
      <c r="D31" s="836">
        <f>+'27'!E18</f>
        <v>8100</v>
      </c>
      <c r="E31" s="984">
        <f>+'27'!F18</f>
        <v>24878.44</v>
      </c>
      <c r="F31" s="154">
        <f>+'27'!G18</f>
        <v>6101.36</v>
      </c>
      <c r="G31" s="744">
        <f>+'27'!H18</f>
        <v>22002</v>
      </c>
      <c r="H31" s="106">
        <f t="shared" si="0"/>
        <v>271.62962962962962</v>
      </c>
      <c r="I31" s="31"/>
      <c r="K31" s="31"/>
      <c r="L31" s="31"/>
      <c r="M31" s="31"/>
    </row>
    <row r="32" spans="1:13" s="35" customFormat="1" ht="30.75" customHeight="1" thickBot="1" x14ac:dyDescent="0.35">
      <c r="A32" s="52" t="s">
        <v>57</v>
      </c>
      <c r="B32" s="41">
        <f t="shared" ref="B32:G32" si="1">SUM(B9:B31)</f>
        <v>12438008</v>
      </c>
      <c r="C32" s="42">
        <f t="shared" si="1"/>
        <v>12799099.529999999</v>
      </c>
      <c r="D32" s="53">
        <f t="shared" si="1"/>
        <v>13044246</v>
      </c>
      <c r="E32" s="43">
        <f t="shared" si="1"/>
        <v>14400899.720000001</v>
      </c>
      <c r="F32" s="823">
        <f t="shared" si="1"/>
        <v>10857484.149999999</v>
      </c>
      <c r="G32" s="745">
        <f t="shared" si="1"/>
        <v>15409679</v>
      </c>
      <c r="H32" s="54">
        <f t="shared" si="0"/>
        <v>118.13391897086272</v>
      </c>
      <c r="I32" s="31"/>
      <c r="J32" s="31"/>
    </row>
    <row r="33" spans="1:10" ht="16.2" thickBot="1" x14ac:dyDescent="0.35">
      <c r="B33" s="28"/>
      <c r="D33" s="28"/>
      <c r="H33" s="55"/>
      <c r="I33" s="31"/>
      <c r="J33" s="46"/>
    </row>
    <row r="34" spans="1:10" ht="30.75" customHeight="1" thickBot="1" x14ac:dyDescent="0.35">
      <c r="A34" s="109" t="s">
        <v>230</v>
      </c>
      <c r="B34" s="864">
        <v>0</v>
      </c>
      <c r="C34" s="865">
        <v>-26531.3</v>
      </c>
      <c r="D34" s="111">
        <v>0</v>
      </c>
      <c r="E34" s="112">
        <v>-30803</v>
      </c>
      <c r="F34" s="110">
        <v>-22924.5</v>
      </c>
      <c r="H34" s="56"/>
      <c r="I34" s="31"/>
    </row>
    <row r="35" spans="1:10" ht="32.25" customHeight="1" thickBot="1" x14ac:dyDescent="0.35">
      <c r="A35" s="36" t="s">
        <v>69</v>
      </c>
      <c r="B35" s="41">
        <f>SUM(B32+B34)</f>
        <v>12438008</v>
      </c>
      <c r="C35" s="42">
        <f>SUM(C32+C34)</f>
        <v>12772568.229999999</v>
      </c>
      <c r="D35" s="53">
        <f>SUM(D32+D34)</f>
        <v>13044246</v>
      </c>
      <c r="E35" s="43">
        <f>SUM(E32+E34)</f>
        <v>14370096.720000001</v>
      </c>
      <c r="F35" s="42">
        <f>SUM(F32+F34)</f>
        <v>10834559.649999999</v>
      </c>
      <c r="G35" s="921"/>
      <c r="H35" s="55"/>
      <c r="I35" s="31"/>
    </row>
    <row r="36" spans="1:10" x14ac:dyDescent="0.3">
      <c r="B36" s="28"/>
      <c r="D36" s="28"/>
    </row>
    <row r="37" spans="1:10" x14ac:dyDescent="0.3">
      <c r="B37" s="28"/>
      <c r="D37" s="28"/>
    </row>
    <row r="38" spans="1:10" x14ac:dyDescent="0.3">
      <c r="B38" s="28"/>
      <c r="D38" s="28"/>
      <c r="G38" s="28"/>
    </row>
    <row r="39" spans="1:10" x14ac:dyDescent="0.3">
      <c r="B39" s="28"/>
    </row>
    <row r="40" spans="1:10" x14ac:dyDescent="0.3">
      <c r="B40" s="28"/>
      <c r="D40" s="28"/>
      <c r="G40" s="28"/>
    </row>
    <row r="439" spans="1:8" x14ac:dyDescent="0.3">
      <c r="A439" s="44"/>
      <c r="B439" s="29"/>
      <c r="C439" s="29"/>
      <c r="D439" s="29"/>
      <c r="E439" s="29"/>
      <c r="F439" s="29"/>
      <c r="G439" s="40"/>
      <c r="H439" s="29"/>
    </row>
  </sheetData>
  <mergeCells count="5">
    <mergeCell ref="A7:A8"/>
    <mergeCell ref="B7:C7"/>
    <mergeCell ref="D7:F7"/>
    <mergeCell ref="G7:G8"/>
    <mergeCell ref="H7:H8"/>
  </mergeCells>
  <phoneticPr fontId="9" type="noConversion"/>
  <printOptions horizontalCentered="1"/>
  <pageMargins left="0.39370078740157483" right="0.39370078740157483" top="0.78740157480314965" bottom="0.39370078740157483" header="0.59055118110236227" footer="0.59055118110236227"/>
  <pageSetup paperSize="9" scale="68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L25"/>
  <sheetViews>
    <sheetView workbookViewId="0">
      <selection activeCell="C1" sqref="C1"/>
    </sheetView>
  </sheetViews>
  <sheetFormatPr defaultRowHeight="13.8" x14ac:dyDescent="0.3"/>
  <cols>
    <col min="1" max="1" width="7.6640625" style="66" customWidth="1"/>
    <col min="2" max="2" width="6.6640625" style="1" customWidth="1"/>
    <col min="3" max="3" width="41.6640625" style="1" customWidth="1"/>
    <col min="4" max="4" width="14.6640625" style="2" customWidth="1"/>
    <col min="5" max="5" width="14.6640625" style="3" customWidth="1"/>
    <col min="6" max="6" width="14.6640625" style="2" customWidth="1"/>
    <col min="7" max="7" width="16.5546875" style="3" customWidth="1"/>
    <col min="8" max="8" width="14.6640625" style="3" customWidth="1"/>
    <col min="9" max="9" width="16.6640625" style="697" customWidth="1"/>
    <col min="10" max="11" width="9.6640625" style="5" customWidth="1"/>
    <col min="12" max="12" width="17.88671875" style="1" bestFit="1" customWidth="1"/>
    <col min="13" max="254" width="9.109375" style="1"/>
    <col min="255" max="255" width="6.6640625" style="1" customWidth="1"/>
    <col min="256" max="256" width="41.5546875" style="1" customWidth="1"/>
    <col min="257" max="264" width="14.6640625" style="1" customWidth="1"/>
    <col min="265" max="265" width="16.6640625" style="1" customWidth="1"/>
    <col min="266" max="266" width="13.88671875" style="1" customWidth="1"/>
    <col min="267" max="267" width="14.6640625" style="1" customWidth="1"/>
    <col min="268" max="510" width="9.109375" style="1"/>
    <col min="511" max="511" width="6.6640625" style="1" customWidth="1"/>
    <col min="512" max="512" width="41.5546875" style="1" customWidth="1"/>
    <col min="513" max="520" width="14.6640625" style="1" customWidth="1"/>
    <col min="521" max="521" width="16.6640625" style="1" customWidth="1"/>
    <col min="522" max="522" width="13.88671875" style="1" customWidth="1"/>
    <col min="523" max="523" width="14.6640625" style="1" customWidth="1"/>
    <col min="524" max="766" width="9.109375" style="1"/>
    <col min="767" max="767" width="6.6640625" style="1" customWidth="1"/>
    <col min="768" max="768" width="41.5546875" style="1" customWidth="1"/>
    <col min="769" max="776" width="14.6640625" style="1" customWidth="1"/>
    <col min="777" max="777" width="16.6640625" style="1" customWidth="1"/>
    <col min="778" max="778" width="13.88671875" style="1" customWidth="1"/>
    <col min="779" max="779" width="14.6640625" style="1" customWidth="1"/>
    <col min="780" max="1022" width="9.109375" style="1"/>
    <col min="1023" max="1023" width="6.6640625" style="1" customWidth="1"/>
    <col min="1024" max="1024" width="41.5546875" style="1" customWidth="1"/>
    <col min="1025" max="1032" width="14.6640625" style="1" customWidth="1"/>
    <col min="1033" max="1033" width="16.6640625" style="1" customWidth="1"/>
    <col min="1034" max="1034" width="13.88671875" style="1" customWidth="1"/>
    <col min="1035" max="1035" width="14.6640625" style="1" customWidth="1"/>
    <col min="1036" max="1278" width="9.109375" style="1"/>
    <col min="1279" max="1279" width="6.6640625" style="1" customWidth="1"/>
    <col min="1280" max="1280" width="41.5546875" style="1" customWidth="1"/>
    <col min="1281" max="1288" width="14.6640625" style="1" customWidth="1"/>
    <col min="1289" max="1289" width="16.6640625" style="1" customWidth="1"/>
    <col min="1290" max="1290" width="13.88671875" style="1" customWidth="1"/>
    <col min="1291" max="1291" width="14.6640625" style="1" customWidth="1"/>
    <col min="1292" max="1534" width="9.109375" style="1"/>
    <col min="1535" max="1535" width="6.6640625" style="1" customWidth="1"/>
    <col min="1536" max="1536" width="41.5546875" style="1" customWidth="1"/>
    <col min="1537" max="1544" width="14.6640625" style="1" customWidth="1"/>
    <col min="1545" max="1545" width="16.6640625" style="1" customWidth="1"/>
    <col min="1546" max="1546" width="13.88671875" style="1" customWidth="1"/>
    <col min="1547" max="1547" width="14.6640625" style="1" customWidth="1"/>
    <col min="1548" max="1790" width="9.109375" style="1"/>
    <col min="1791" max="1791" width="6.6640625" style="1" customWidth="1"/>
    <col min="1792" max="1792" width="41.5546875" style="1" customWidth="1"/>
    <col min="1793" max="1800" width="14.6640625" style="1" customWidth="1"/>
    <col min="1801" max="1801" width="16.6640625" style="1" customWidth="1"/>
    <col min="1802" max="1802" width="13.88671875" style="1" customWidth="1"/>
    <col min="1803" max="1803" width="14.6640625" style="1" customWidth="1"/>
    <col min="1804" max="2046" width="9.109375" style="1"/>
    <col min="2047" max="2047" width="6.6640625" style="1" customWidth="1"/>
    <col min="2048" max="2048" width="41.5546875" style="1" customWidth="1"/>
    <col min="2049" max="2056" width="14.6640625" style="1" customWidth="1"/>
    <col min="2057" max="2057" width="16.6640625" style="1" customWidth="1"/>
    <col min="2058" max="2058" width="13.88671875" style="1" customWidth="1"/>
    <col min="2059" max="2059" width="14.6640625" style="1" customWidth="1"/>
    <col min="2060" max="2302" width="9.109375" style="1"/>
    <col min="2303" max="2303" width="6.6640625" style="1" customWidth="1"/>
    <col min="2304" max="2304" width="41.5546875" style="1" customWidth="1"/>
    <col min="2305" max="2312" width="14.6640625" style="1" customWidth="1"/>
    <col min="2313" max="2313" width="16.6640625" style="1" customWidth="1"/>
    <col min="2314" max="2314" width="13.88671875" style="1" customWidth="1"/>
    <col min="2315" max="2315" width="14.6640625" style="1" customWidth="1"/>
    <col min="2316" max="2558" width="9.109375" style="1"/>
    <col min="2559" max="2559" width="6.6640625" style="1" customWidth="1"/>
    <col min="2560" max="2560" width="41.5546875" style="1" customWidth="1"/>
    <col min="2561" max="2568" width="14.6640625" style="1" customWidth="1"/>
    <col min="2569" max="2569" width="16.6640625" style="1" customWidth="1"/>
    <col min="2570" max="2570" width="13.88671875" style="1" customWidth="1"/>
    <col min="2571" max="2571" width="14.6640625" style="1" customWidth="1"/>
    <col min="2572" max="2814" width="9.109375" style="1"/>
    <col min="2815" max="2815" width="6.6640625" style="1" customWidth="1"/>
    <col min="2816" max="2816" width="41.5546875" style="1" customWidth="1"/>
    <col min="2817" max="2824" width="14.6640625" style="1" customWidth="1"/>
    <col min="2825" max="2825" width="16.6640625" style="1" customWidth="1"/>
    <col min="2826" max="2826" width="13.88671875" style="1" customWidth="1"/>
    <col min="2827" max="2827" width="14.6640625" style="1" customWidth="1"/>
    <col min="2828" max="3070" width="9.109375" style="1"/>
    <col min="3071" max="3071" width="6.6640625" style="1" customWidth="1"/>
    <col min="3072" max="3072" width="41.5546875" style="1" customWidth="1"/>
    <col min="3073" max="3080" width="14.6640625" style="1" customWidth="1"/>
    <col min="3081" max="3081" width="16.6640625" style="1" customWidth="1"/>
    <col min="3082" max="3082" width="13.88671875" style="1" customWidth="1"/>
    <col min="3083" max="3083" width="14.6640625" style="1" customWidth="1"/>
    <col min="3084" max="3326" width="9.109375" style="1"/>
    <col min="3327" max="3327" width="6.6640625" style="1" customWidth="1"/>
    <col min="3328" max="3328" width="41.5546875" style="1" customWidth="1"/>
    <col min="3329" max="3336" width="14.6640625" style="1" customWidth="1"/>
    <col min="3337" max="3337" width="16.6640625" style="1" customWidth="1"/>
    <col min="3338" max="3338" width="13.88671875" style="1" customWidth="1"/>
    <col min="3339" max="3339" width="14.6640625" style="1" customWidth="1"/>
    <col min="3340" max="3582" width="9.109375" style="1"/>
    <col min="3583" max="3583" width="6.6640625" style="1" customWidth="1"/>
    <col min="3584" max="3584" width="41.5546875" style="1" customWidth="1"/>
    <col min="3585" max="3592" width="14.6640625" style="1" customWidth="1"/>
    <col min="3593" max="3593" width="16.6640625" style="1" customWidth="1"/>
    <col min="3594" max="3594" width="13.88671875" style="1" customWidth="1"/>
    <col min="3595" max="3595" width="14.6640625" style="1" customWidth="1"/>
    <col min="3596" max="3838" width="9.109375" style="1"/>
    <col min="3839" max="3839" width="6.6640625" style="1" customWidth="1"/>
    <col min="3840" max="3840" width="41.5546875" style="1" customWidth="1"/>
    <col min="3841" max="3848" width="14.6640625" style="1" customWidth="1"/>
    <col min="3849" max="3849" width="16.6640625" style="1" customWidth="1"/>
    <col min="3850" max="3850" width="13.88671875" style="1" customWidth="1"/>
    <col min="3851" max="3851" width="14.6640625" style="1" customWidth="1"/>
    <col min="3852" max="4094" width="9.109375" style="1"/>
    <col min="4095" max="4095" width="6.6640625" style="1" customWidth="1"/>
    <col min="4096" max="4096" width="41.5546875" style="1" customWidth="1"/>
    <col min="4097" max="4104" width="14.6640625" style="1" customWidth="1"/>
    <col min="4105" max="4105" width="16.6640625" style="1" customWidth="1"/>
    <col min="4106" max="4106" width="13.88671875" style="1" customWidth="1"/>
    <col min="4107" max="4107" width="14.6640625" style="1" customWidth="1"/>
    <col min="4108" max="4350" width="9.109375" style="1"/>
    <col min="4351" max="4351" width="6.6640625" style="1" customWidth="1"/>
    <col min="4352" max="4352" width="41.5546875" style="1" customWidth="1"/>
    <col min="4353" max="4360" width="14.6640625" style="1" customWidth="1"/>
    <col min="4361" max="4361" width="16.6640625" style="1" customWidth="1"/>
    <col min="4362" max="4362" width="13.88671875" style="1" customWidth="1"/>
    <col min="4363" max="4363" width="14.6640625" style="1" customWidth="1"/>
    <col min="4364" max="4606" width="9.109375" style="1"/>
    <col min="4607" max="4607" width="6.6640625" style="1" customWidth="1"/>
    <col min="4608" max="4608" width="41.5546875" style="1" customWidth="1"/>
    <col min="4609" max="4616" width="14.6640625" style="1" customWidth="1"/>
    <col min="4617" max="4617" width="16.6640625" style="1" customWidth="1"/>
    <col min="4618" max="4618" width="13.88671875" style="1" customWidth="1"/>
    <col min="4619" max="4619" width="14.6640625" style="1" customWidth="1"/>
    <col min="4620" max="4862" width="9.109375" style="1"/>
    <col min="4863" max="4863" width="6.6640625" style="1" customWidth="1"/>
    <col min="4864" max="4864" width="41.5546875" style="1" customWidth="1"/>
    <col min="4865" max="4872" width="14.6640625" style="1" customWidth="1"/>
    <col min="4873" max="4873" width="16.6640625" style="1" customWidth="1"/>
    <col min="4874" max="4874" width="13.88671875" style="1" customWidth="1"/>
    <col min="4875" max="4875" width="14.6640625" style="1" customWidth="1"/>
    <col min="4876" max="5118" width="9.109375" style="1"/>
    <col min="5119" max="5119" width="6.6640625" style="1" customWidth="1"/>
    <col min="5120" max="5120" width="41.5546875" style="1" customWidth="1"/>
    <col min="5121" max="5128" width="14.6640625" style="1" customWidth="1"/>
    <col min="5129" max="5129" width="16.6640625" style="1" customWidth="1"/>
    <col min="5130" max="5130" width="13.88671875" style="1" customWidth="1"/>
    <col min="5131" max="5131" width="14.6640625" style="1" customWidth="1"/>
    <col min="5132" max="5374" width="9.109375" style="1"/>
    <col min="5375" max="5375" width="6.6640625" style="1" customWidth="1"/>
    <col min="5376" max="5376" width="41.5546875" style="1" customWidth="1"/>
    <col min="5377" max="5384" width="14.6640625" style="1" customWidth="1"/>
    <col min="5385" max="5385" width="16.6640625" style="1" customWidth="1"/>
    <col min="5386" max="5386" width="13.88671875" style="1" customWidth="1"/>
    <col min="5387" max="5387" width="14.6640625" style="1" customWidth="1"/>
    <col min="5388" max="5630" width="9.109375" style="1"/>
    <col min="5631" max="5631" width="6.6640625" style="1" customWidth="1"/>
    <col min="5632" max="5632" width="41.5546875" style="1" customWidth="1"/>
    <col min="5633" max="5640" width="14.6640625" style="1" customWidth="1"/>
    <col min="5641" max="5641" width="16.6640625" style="1" customWidth="1"/>
    <col min="5642" max="5642" width="13.88671875" style="1" customWidth="1"/>
    <col min="5643" max="5643" width="14.6640625" style="1" customWidth="1"/>
    <col min="5644" max="5886" width="9.109375" style="1"/>
    <col min="5887" max="5887" width="6.6640625" style="1" customWidth="1"/>
    <col min="5888" max="5888" width="41.5546875" style="1" customWidth="1"/>
    <col min="5889" max="5896" width="14.6640625" style="1" customWidth="1"/>
    <col min="5897" max="5897" width="16.6640625" style="1" customWidth="1"/>
    <col min="5898" max="5898" width="13.88671875" style="1" customWidth="1"/>
    <col min="5899" max="5899" width="14.6640625" style="1" customWidth="1"/>
    <col min="5900" max="6142" width="9.109375" style="1"/>
    <col min="6143" max="6143" width="6.6640625" style="1" customWidth="1"/>
    <col min="6144" max="6144" width="41.5546875" style="1" customWidth="1"/>
    <col min="6145" max="6152" width="14.6640625" style="1" customWidth="1"/>
    <col min="6153" max="6153" width="16.6640625" style="1" customWidth="1"/>
    <col min="6154" max="6154" width="13.88671875" style="1" customWidth="1"/>
    <col min="6155" max="6155" width="14.6640625" style="1" customWidth="1"/>
    <col min="6156" max="6398" width="9.109375" style="1"/>
    <col min="6399" max="6399" width="6.6640625" style="1" customWidth="1"/>
    <col min="6400" max="6400" width="41.5546875" style="1" customWidth="1"/>
    <col min="6401" max="6408" width="14.6640625" style="1" customWidth="1"/>
    <col min="6409" max="6409" width="16.6640625" style="1" customWidth="1"/>
    <col min="6410" max="6410" width="13.88671875" style="1" customWidth="1"/>
    <col min="6411" max="6411" width="14.6640625" style="1" customWidth="1"/>
    <col min="6412" max="6654" width="9.109375" style="1"/>
    <col min="6655" max="6655" width="6.6640625" style="1" customWidth="1"/>
    <col min="6656" max="6656" width="41.5546875" style="1" customWidth="1"/>
    <col min="6657" max="6664" width="14.6640625" style="1" customWidth="1"/>
    <col min="6665" max="6665" width="16.6640625" style="1" customWidth="1"/>
    <col min="6666" max="6666" width="13.88671875" style="1" customWidth="1"/>
    <col min="6667" max="6667" width="14.6640625" style="1" customWidth="1"/>
    <col min="6668" max="6910" width="9.109375" style="1"/>
    <col min="6911" max="6911" width="6.6640625" style="1" customWidth="1"/>
    <col min="6912" max="6912" width="41.5546875" style="1" customWidth="1"/>
    <col min="6913" max="6920" width="14.6640625" style="1" customWidth="1"/>
    <col min="6921" max="6921" width="16.6640625" style="1" customWidth="1"/>
    <col min="6922" max="6922" width="13.88671875" style="1" customWidth="1"/>
    <col min="6923" max="6923" width="14.6640625" style="1" customWidth="1"/>
    <col min="6924" max="7166" width="9.109375" style="1"/>
    <col min="7167" max="7167" width="6.6640625" style="1" customWidth="1"/>
    <col min="7168" max="7168" width="41.5546875" style="1" customWidth="1"/>
    <col min="7169" max="7176" width="14.6640625" style="1" customWidth="1"/>
    <col min="7177" max="7177" width="16.6640625" style="1" customWidth="1"/>
    <col min="7178" max="7178" width="13.88671875" style="1" customWidth="1"/>
    <col min="7179" max="7179" width="14.6640625" style="1" customWidth="1"/>
    <col min="7180" max="7422" width="9.109375" style="1"/>
    <col min="7423" max="7423" width="6.6640625" style="1" customWidth="1"/>
    <col min="7424" max="7424" width="41.5546875" style="1" customWidth="1"/>
    <col min="7425" max="7432" width="14.6640625" style="1" customWidth="1"/>
    <col min="7433" max="7433" width="16.6640625" style="1" customWidth="1"/>
    <col min="7434" max="7434" width="13.88671875" style="1" customWidth="1"/>
    <col min="7435" max="7435" width="14.6640625" style="1" customWidth="1"/>
    <col min="7436" max="7678" width="9.109375" style="1"/>
    <col min="7679" max="7679" width="6.6640625" style="1" customWidth="1"/>
    <col min="7680" max="7680" width="41.5546875" style="1" customWidth="1"/>
    <col min="7681" max="7688" width="14.6640625" style="1" customWidth="1"/>
    <col min="7689" max="7689" width="16.6640625" style="1" customWidth="1"/>
    <col min="7690" max="7690" width="13.88671875" style="1" customWidth="1"/>
    <col min="7691" max="7691" width="14.6640625" style="1" customWidth="1"/>
    <col min="7692" max="7934" width="9.109375" style="1"/>
    <col min="7935" max="7935" width="6.6640625" style="1" customWidth="1"/>
    <col min="7936" max="7936" width="41.5546875" style="1" customWidth="1"/>
    <col min="7937" max="7944" width="14.6640625" style="1" customWidth="1"/>
    <col min="7945" max="7945" width="16.6640625" style="1" customWidth="1"/>
    <col min="7946" max="7946" width="13.88671875" style="1" customWidth="1"/>
    <col min="7947" max="7947" width="14.6640625" style="1" customWidth="1"/>
    <col min="7948" max="8190" width="9.109375" style="1"/>
    <col min="8191" max="8191" width="6.6640625" style="1" customWidth="1"/>
    <col min="8192" max="8192" width="41.5546875" style="1" customWidth="1"/>
    <col min="8193" max="8200" width="14.6640625" style="1" customWidth="1"/>
    <col min="8201" max="8201" width="16.6640625" style="1" customWidth="1"/>
    <col min="8202" max="8202" width="13.88671875" style="1" customWidth="1"/>
    <col min="8203" max="8203" width="14.6640625" style="1" customWidth="1"/>
    <col min="8204" max="8446" width="9.109375" style="1"/>
    <col min="8447" max="8447" width="6.6640625" style="1" customWidth="1"/>
    <col min="8448" max="8448" width="41.5546875" style="1" customWidth="1"/>
    <col min="8449" max="8456" width="14.6640625" style="1" customWidth="1"/>
    <col min="8457" max="8457" width="16.6640625" style="1" customWidth="1"/>
    <col min="8458" max="8458" width="13.88671875" style="1" customWidth="1"/>
    <col min="8459" max="8459" width="14.6640625" style="1" customWidth="1"/>
    <col min="8460" max="8702" width="9.109375" style="1"/>
    <col min="8703" max="8703" width="6.6640625" style="1" customWidth="1"/>
    <col min="8704" max="8704" width="41.5546875" style="1" customWidth="1"/>
    <col min="8705" max="8712" width="14.6640625" style="1" customWidth="1"/>
    <col min="8713" max="8713" width="16.6640625" style="1" customWidth="1"/>
    <col min="8714" max="8714" width="13.88671875" style="1" customWidth="1"/>
    <col min="8715" max="8715" width="14.6640625" style="1" customWidth="1"/>
    <col min="8716" max="8958" width="9.109375" style="1"/>
    <col min="8959" max="8959" width="6.6640625" style="1" customWidth="1"/>
    <col min="8960" max="8960" width="41.5546875" style="1" customWidth="1"/>
    <col min="8961" max="8968" width="14.6640625" style="1" customWidth="1"/>
    <col min="8969" max="8969" width="16.6640625" style="1" customWidth="1"/>
    <col min="8970" max="8970" width="13.88671875" style="1" customWidth="1"/>
    <col min="8971" max="8971" width="14.6640625" style="1" customWidth="1"/>
    <col min="8972" max="9214" width="9.109375" style="1"/>
    <col min="9215" max="9215" width="6.6640625" style="1" customWidth="1"/>
    <col min="9216" max="9216" width="41.5546875" style="1" customWidth="1"/>
    <col min="9217" max="9224" width="14.6640625" style="1" customWidth="1"/>
    <col min="9225" max="9225" width="16.6640625" style="1" customWidth="1"/>
    <col min="9226" max="9226" width="13.88671875" style="1" customWidth="1"/>
    <col min="9227" max="9227" width="14.6640625" style="1" customWidth="1"/>
    <col min="9228" max="9470" width="9.109375" style="1"/>
    <col min="9471" max="9471" width="6.6640625" style="1" customWidth="1"/>
    <col min="9472" max="9472" width="41.5546875" style="1" customWidth="1"/>
    <col min="9473" max="9480" width="14.6640625" style="1" customWidth="1"/>
    <col min="9481" max="9481" width="16.6640625" style="1" customWidth="1"/>
    <col min="9482" max="9482" width="13.88671875" style="1" customWidth="1"/>
    <col min="9483" max="9483" width="14.6640625" style="1" customWidth="1"/>
    <col min="9484" max="9726" width="9.109375" style="1"/>
    <col min="9727" max="9727" width="6.6640625" style="1" customWidth="1"/>
    <col min="9728" max="9728" width="41.5546875" style="1" customWidth="1"/>
    <col min="9729" max="9736" width="14.6640625" style="1" customWidth="1"/>
    <col min="9737" max="9737" width="16.6640625" style="1" customWidth="1"/>
    <col min="9738" max="9738" width="13.88671875" style="1" customWidth="1"/>
    <col min="9739" max="9739" width="14.6640625" style="1" customWidth="1"/>
    <col min="9740" max="9982" width="9.109375" style="1"/>
    <col min="9983" max="9983" width="6.6640625" style="1" customWidth="1"/>
    <col min="9984" max="9984" width="41.5546875" style="1" customWidth="1"/>
    <col min="9985" max="9992" width="14.6640625" style="1" customWidth="1"/>
    <col min="9993" max="9993" width="16.6640625" style="1" customWidth="1"/>
    <col min="9994" max="9994" width="13.88671875" style="1" customWidth="1"/>
    <col min="9995" max="9995" width="14.6640625" style="1" customWidth="1"/>
    <col min="9996" max="10238" width="9.109375" style="1"/>
    <col min="10239" max="10239" width="6.6640625" style="1" customWidth="1"/>
    <col min="10240" max="10240" width="41.5546875" style="1" customWidth="1"/>
    <col min="10241" max="10248" width="14.6640625" style="1" customWidth="1"/>
    <col min="10249" max="10249" width="16.6640625" style="1" customWidth="1"/>
    <col min="10250" max="10250" width="13.88671875" style="1" customWidth="1"/>
    <col min="10251" max="10251" width="14.6640625" style="1" customWidth="1"/>
    <col min="10252" max="10494" width="9.109375" style="1"/>
    <col min="10495" max="10495" width="6.6640625" style="1" customWidth="1"/>
    <col min="10496" max="10496" width="41.5546875" style="1" customWidth="1"/>
    <col min="10497" max="10504" width="14.6640625" style="1" customWidth="1"/>
    <col min="10505" max="10505" width="16.6640625" style="1" customWidth="1"/>
    <col min="10506" max="10506" width="13.88671875" style="1" customWidth="1"/>
    <col min="10507" max="10507" width="14.6640625" style="1" customWidth="1"/>
    <col min="10508" max="10750" width="9.109375" style="1"/>
    <col min="10751" max="10751" width="6.6640625" style="1" customWidth="1"/>
    <col min="10752" max="10752" width="41.5546875" style="1" customWidth="1"/>
    <col min="10753" max="10760" width="14.6640625" style="1" customWidth="1"/>
    <col min="10761" max="10761" width="16.6640625" style="1" customWidth="1"/>
    <col min="10762" max="10762" width="13.88671875" style="1" customWidth="1"/>
    <col min="10763" max="10763" width="14.6640625" style="1" customWidth="1"/>
    <col min="10764" max="11006" width="9.109375" style="1"/>
    <col min="11007" max="11007" width="6.6640625" style="1" customWidth="1"/>
    <col min="11008" max="11008" width="41.5546875" style="1" customWidth="1"/>
    <col min="11009" max="11016" width="14.6640625" style="1" customWidth="1"/>
    <col min="11017" max="11017" width="16.6640625" style="1" customWidth="1"/>
    <col min="11018" max="11018" width="13.88671875" style="1" customWidth="1"/>
    <col min="11019" max="11019" width="14.6640625" style="1" customWidth="1"/>
    <col min="11020" max="11262" width="9.109375" style="1"/>
    <col min="11263" max="11263" width="6.6640625" style="1" customWidth="1"/>
    <col min="11264" max="11264" width="41.5546875" style="1" customWidth="1"/>
    <col min="11265" max="11272" width="14.6640625" style="1" customWidth="1"/>
    <col min="11273" max="11273" width="16.6640625" style="1" customWidth="1"/>
    <col min="11274" max="11274" width="13.88671875" style="1" customWidth="1"/>
    <col min="11275" max="11275" width="14.6640625" style="1" customWidth="1"/>
    <col min="11276" max="11518" width="9.109375" style="1"/>
    <col min="11519" max="11519" width="6.6640625" style="1" customWidth="1"/>
    <col min="11520" max="11520" width="41.5546875" style="1" customWidth="1"/>
    <col min="11521" max="11528" width="14.6640625" style="1" customWidth="1"/>
    <col min="11529" max="11529" width="16.6640625" style="1" customWidth="1"/>
    <col min="11530" max="11530" width="13.88671875" style="1" customWidth="1"/>
    <col min="11531" max="11531" width="14.6640625" style="1" customWidth="1"/>
    <col min="11532" max="11774" width="9.109375" style="1"/>
    <col min="11775" max="11775" width="6.6640625" style="1" customWidth="1"/>
    <col min="11776" max="11776" width="41.5546875" style="1" customWidth="1"/>
    <col min="11777" max="11784" width="14.6640625" style="1" customWidth="1"/>
    <col min="11785" max="11785" width="16.6640625" style="1" customWidth="1"/>
    <col min="11786" max="11786" width="13.88671875" style="1" customWidth="1"/>
    <col min="11787" max="11787" width="14.6640625" style="1" customWidth="1"/>
    <col min="11788" max="12030" width="9.109375" style="1"/>
    <col min="12031" max="12031" width="6.6640625" style="1" customWidth="1"/>
    <col min="12032" max="12032" width="41.5546875" style="1" customWidth="1"/>
    <col min="12033" max="12040" width="14.6640625" style="1" customWidth="1"/>
    <col min="12041" max="12041" width="16.6640625" style="1" customWidth="1"/>
    <col min="12042" max="12042" width="13.88671875" style="1" customWidth="1"/>
    <col min="12043" max="12043" width="14.6640625" style="1" customWidth="1"/>
    <col min="12044" max="12286" width="9.109375" style="1"/>
    <col min="12287" max="12287" width="6.6640625" style="1" customWidth="1"/>
    <col min="12288" max="12288" width="41.5546875" style="1" customWidth="1"/>
    <col min="12289" max="12296" width="14.6640625" style="1" customWidth="1"/>
    <col min="12297" max="12297" width="16.6640625" style="1" customWidth="1"/>
    <col min="12298" max="12298" width="13.88671875" style="1" customWidth="1"/>
    <col min="12299" max="12299" width="14.6640625" style="1" customWidth="1"/>
    <col min="12300" max="12542" width="9.109375" style="1"/>
    <col min="12543" max="12543" width="6.6640625" style="1" customWidth="1"/>
    <col min="12544" max="12544" width="41.5546875" style="1" customWidth="1"/>
    <col min="12545" max="12552" width="14.6640625" style="1" customWidth="1"/>
    <col min="12553" max="12553" width="16.6640625" style="1" customWidth="1"/>
    <col min="12554" max="12554" width="13.88671875" style="1" customWidth="1"/>
    <col min="12555" max="12555" width="14.6640625" style="1" customWidth="1"/>
    <col min="12556" max="12798" width="9.109375" style="1"/>
    <col min="12799" max="12799" width="6.6640625" style="1" customWidth="1"/>
    <col min="12800" max="12800" width="41.5546875" style="1" customWidth="1"/>
    <col min="12801" max="12808" width="14.6640625" style="1" customWidth="1"/>
    <col min="12809" max="12809" width="16.6640625" style="1" customWidth="1"/>
    <col min="12810" max="12810" width="13.88671875" style="1" customWidth="1"/>
    <col min="12811" max="12811" width="14.6640625" style="1" customWidth="1"/>
    <col min="12812" max="13054" width="9.109375" style="1"/>
    <col min="13055" max="13055" width="6.6640625" style="1" customWidth="1"/>
    <col min="13056" max="13056" width="41.5546875" style="1" customWidth="1"/>
    <col min="13057" max="13064" width="14.6640625" style="1" customWidth="1"/>
    <col min="13065" max="13065" width="16.6640625" style="1" customWidth="1"/>
    <col min="13066" max="13066" width="13.88671875" style="1" customWidth="1"/>
    <col min="13067" max="13067" width="14.6640625" style="1" customWidth="1"/>
    <col min="13068" max="13310" width="9.109375" style="1"/>
    <col min="13311" max="13311" width="6.6640625" style="1" customWidth="1"/>
    <col min="13312" max="13312" width="41.5546875" style="1" customWidth="1"/>
    <col min="13313" max="13320" width="14.6640625" style="1" customWidth="1"/>
    <col min="13321" max="13321" width="16.6640625" style="1" customWidth="1"/>
    <col min="13322" max="13322" width="13.88671875" style="1" customWidth="1"/>
    <col min="13323" max="13323" width="14.6640625" style="1" customWidth="1"/>
    <col min="13324" max="13566" width="9.109375" style="1"/>
    <col min="13567" max="13567" width="6.6640625" style="1" customWidth="1"/>
    <col min="13568" max="13568" width="41.5546875" style="1" customWidth="1"/>
    <col min="13569" max="13576" width="14.6640625" style="1" customWidth="1"/>
    <col min="13577" max="13577" width="16.6640625" style="1" customWidth="1"/>
    <col min="13578" max="13578" width="13.88671875" style="1" customWidth="1"/>
    <col min="13579" max="13579" width="14.6640625" style="1" customWidth="1"/>
    <col min="13580" max="13822" width="9.109375" style="1"/>
    <col min="13823" max="13823" width="6.6640625" style="1" customWidth="1"/>
    <col min="13824" max="13824" width="41.5546875" style="1" customWidth="1"/>
    <col min="13825" max="13832" width="14.6640625" style="1" customWidth="1"/>
    <col min="13833" max="13833" width="16.6640625" style="1" customWidth="1"/>
    <col min="13834" max="13834" width="13.88671875" style="1" customWidth="1"/>
    <col min="13835" max="13835" width="14.6640625" style="1" customWidth="1"/>
    <col min="13836" max="14078" width="9.109375" style="1"/>
    <col min="14079" max="14079" width="6.6640625" style="1" customWidth="1"/>
    <col min="14080" max="14080" width="41.5546875" style="1" customWidth="1"/>
    <col min="14081" max="14088" width="14.6640625" style="1" customWidth="1"/>
    <col min="14089" max="14089" width="16.6640625" style="1" customWidth="1"/>
    <col min="14090" max="14090" width="13.88671875" style="1" customWidth="1"/>
    <col min="14091" max="14091" width="14.6640625" style="1" customWidth="1"/>
    <col min="14092" max="14334" width="9.109375" style="1"/>
    <col min="14335" max="14335" width="6.6640625" style="1" customWidth="1"/>
    <col min="14336" max="14336" width="41.5546875" style="1" customWidth="1"/>
    <col min="14337" max="14344" width="14.6640625" style="1" customWidth="1"/>
    <col min="14345" max="14345" width="16.6640625" style="1" customWidth="1"/>
    <col min="14346" max="14346" width="13.88671875" style="1" customWidth="1"/>
    <col min="14347" max="14347" width="14.6640625" style="1" customWidth="1"/>
    <col min="14348" max="14590" width="9.109375" style="1"/>
    <col min="14591" max="14591" width="6.6640625" style="1" customWidth="1"/>
    <col min="14592" max="14592" width="41.5546875" style="1" customWidth="1"/>
    <col min="14593" max="14600" width="14.6640625" style="1" customWidth="1"/>
    <col min="14601" max="14601" width="16.6640625" style="1" customWidth="1"/>
    <col min="14602" max="14602" width="13.88671875" style="1" customWidth="1"/>
    <col min="14603" max="14603" width="14.6640625" style="1" customWidth="1"/>
    <col min="14604" max="14846" width="9.109375" style="1"/>
    <col min="14847" max="14847" width="6.6640625" style="1" customWidth="1"/>
    <col min="14848" max="14848" width="41.5546875" style="1" customWidth="1"/>
    <col min="14849" max="14856" width="14.6640625" style="1" customWidth="1"/>
    <col min="14857" max="14857" width="16.6640625" style="1" customWidth="1"/>
    <col min="14858" max="14858" width="13.88671875" style="1" customWidth="1"/>
    <col min="14859" max="14859" width="14.6640625" style="1" customWidth="1"/>
    <col min="14860" max="15102" width="9.109375" style="1"/>
    <col min="15103" max="15103" width="6.6640625" style="1" customWidth="1"/>
    <col min="15104" max="15104" width="41.5546875" style="1" customWidth="1"/>
    <col min="15105" max="15112" width="14.6640625" style="1" customWidth="1"/>
    <col min="15113" max="15113" width="16.6640625" style="1" customWidth="1"/>
    <col min="15114" max="15114" width="13.88671875" style="1" customWidth="1"/>
    <col min="15115" max="15115" width="14.6640625" style="1" customWidth="1"/>
    <col min="15116" max="15358" width="9.109375" style="1"/>
    <col min="15359" max="15359" width="6.6640625" style="1" customWidth="1"/>
    <col min="15360" max="15360" width="41.5546875" style="1" customWidth="1"/>
    <col min="15361" max="15368" width="14.6640625" style="1" customWidth="1"/>
    <col min="15369" max="15369" width="16.6640625" style="1" customWidth="1"/>
    <col min="15370" max="15370" width="13.88671875" style="1" customWidth="1"/>
    <col min="15371" max="15371" width="14.6640625" style="1" customWidth="1"/>
    <col min="15372" max="15614" width="9.109375" style="1"/>
    <col min="15615" max="15615" width="6.6640625" style="1" customWidth="1"/>
    <col min="15616" max="15616" width="41.5546875" style="1" customWidth="1"/>
    <col min="15617" max="15624" width="14.6640625" style="1" customWidth="1"/>
    <col min="15625" max="15625" width="16.6640625" style="1" customWidth="1"/>
    <col min="15626" max="15626" width="13.88671875" style="1" customWidth="1"/>
    <col min="15627" max="15627" width="14.6640625" style="1" customWidth="1"/>
    <col min="15628" max="15870" width="9.109375" style="1"/>
    <col min="15871" max="15871" width="6.6640625" style="1" customWidth="1"/>
    <col min="15872" max="15872" width="41.5546875" style="1" customWidth="1"/>
    <col min="15873" max="15880" width="14.6640625" style="1" customWidth="1"/>
    <col min="15881" max="15881" width="16.6640625" style="1" customWidth="1"/>
    <col min="15882" max="15882" width="13.88671875" style="1" customWidth="1"/>
    <col min="15883" max="15883" width="14.6640625" style="1" customWidth="1"/>
    <col min="15884" max="16126" width="9.109375" style="1"/>
    <col min="16127" max="16127" width="6.6640625" style="1" customWidth="1"/>
    <col min="16128" max="16128" width="41.5546875" style="1" customWidth="1"/>
    <col min="16129" max="16136" width="14.6640625" style="1" customWidth="1"/>
    <col min="16137" max="16137" width="16.6640625" style="1" customWidth="1"/>
    <col min="16138" max="16138" width="13.88671875" style="1" customWidth="1"/>
    <col min="16139" max="16139" width="14.6640625" style="1" customWidth="1"/>
    <col min="16140" max="16384" width="9.109375" style="1"/>
  </cols>
  <sheetData>
    <row r="1" spans="1:12" ht="15" customHeight="1" x14ac:dyDescent="0.3">
      <c r="C1" s="1" t="s">
        <v>574</v>
      </c>
      <c r="K1" s="6"/>
    </row>
    <row r="2" spans="1:12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</row>
    <row r="3" spans="1:12" ht="15" customHeight="1" x14ac:dyDescent="0.3"/>
    <row r="4" spans="1:12" ht="20.100000000000001" customHeight="1" x14ac:dyDescent="0.3">
      <c r="A4" s="67" t="s">
        <v>224</v>
      </c>
      <c r="J4" s="8"/>
    </row>
    <row r="5" spans="1:12" ht="15" customHeight="1" thickBot="1" x14ac:dyDescent="0.35">
      <c r="A5" s="67"/>
      <c r="K5" s="8" t="s">
        <v>0</v>
      </c>
    </row>
    <row r="6" spans="1:12" s="62" customFormat="1" ht="15.9" customHeight="1" x14ac:dyDescent="0.2">
      <c r="A6" s="1159" t="s">
        <v>85</v>
      </c>
      <c r="B6" s="1165" t="s">
        <v>97</v>
      </c>
      <c r="C6" s="1166"/>
      <c r="D6" s="1060" t="s">
        <v>402</v>
      </c>
      <c r="E6" s="1061"/>
      <c r="F6" s="1060" t="s">
        <v>450</v>
      </c>
      <c r="G6" s="1064"/>
      <c r="H6" s="1061"/>
      <c r="I6" s="1169" t="s">
        <v>507</v>
      </c>
      <c r="J6" s="1161" t="s">
        <v>508</v>
      </c>
      <c r="K6" s="1163" t="s">
        <v>509</v>
      </c>
    </row>
    <row r="7" spans="1:12" s="62" customFormat="1" ht="30.9" customHeight="1" thickBot="1" x14ac:dyDescent="0.25">
      <c r="A7" s="1160"/>
      <c r="B7" s="1167"/>
      <c r="C7" s="1168"/>
      <c r="D7" s="236" t="s">
        <v>103</v>
      </c>
      <c r="E7" s="835" t="s">
        <v>520</v>
      </c>
      <c r="F7" s="236" t="s">
        <v>103</v>
      </c>
      <c r="G7" s="237" t="s">
        <v>556</v>
      </c>
      <c r="H7" s="238" t="s">
        <v>555</v>
      </c>
      <c r="I7" s="1170"/>
      <c r="J7" s="1162"/>
      <c r="K7" s="1164"/>
    </row>
    <row r="8" spans="1:12" s="9" customFormat="1" ht="20.100000000000001" customHeight="1" thickBot="1" x14ac:dyDescent="0.35">
      <c r="A8" s="68"/>
      <c r="B8" s="10" t="s">
        <v>98</v>
      </c>
      <c r="C8" s="10"/>
      <c r="D8" s="240"/>
      <c r="E8" s="241"/>
      <c r="F8" s="240"/>
      <c r="G8" s="3"/>
      <c r="H8" s="3"/>
      <c r="I8" s="697"/>
      <c r="J8" s="16"/>
      <c r="K8" s="16"/>
    </row>
    <row r="9" spans="1:12" s="63" customFormat="1" ht="20.100000000000001" customHeight="1" x14ac:dyDescent="0.3">
      <c r="A9" s="424">
        <v>3133</v>
      </c>
      <c r="B9" s="1155" t="s">
        <v>109</v>
      </c>
      <c r="C9" s="1156"/>
      <c r="D9" s="377">
        <v>500</v>
      </c>
      <c r="E9" s="493">
        <v>83.87</v>
      </c>
      <c r="F9" s="377">
        <v>500</v>
      </c>
      <c r="G9" s="380">
        <v>500</v>
      </c>
      <c r="H9" s="381">
        <v>82.8</v>
      </c>
      <c r="I9" s="955">
        <v>400</v>
      </c>
      <c r="J9" s="382">
        <f t="shared" ref="J9:J22" si="0">I9/F9*100</f>
        <v>80</v>
      </c>
      <c r="K9" s="383">
        <f t="shared" ref="K9:K22" si="1">I9/G9*100</f>
        <v>80</v>
      </c>
      <c r="L9" s="969"/>
    </row>
    <row r="10" spans="1:12" s="63" customFormat="1" ht="30" customHeight="1" x14ac:dyDescent="0.3">
      <c r="A10" s="564">
        <v>3900</v>
      </c>
      <c r="B10" s="1147" t="s">
        <v>453</v>
      </c>
      <c r="C10" s="1148"/>
      <c r="D10" s="395">
        <v>3000</v>
      </c>
      <c r="E10" s="387">
        <v>2689</v>
      </c>
      <c r="F10" s="395">
        <v>3000</v>
      </c>
      <c r="G10" s="398">
        <v>2850</v>
      </c>
      <c r="H10" s="399">
        <v>2653</v>
      </c>
      <c r="I10" s="956">
        <v>2000</v>
      </c>
      <c r="J10" s="400">
        <f t="shared" si="0"/>
        <v>66.666666666666657</v>
      </c>
      <c r="K10" s="401">
        <f t="shared" si="1"/>
        <v>70.175438596491219</v>
      </c>
      <c r="L10" s="969"/>
    </row>
    <row r="11" spans="1:12" s="63" customFormat="1" ht="30" customHeight="1" x14ac:dyDescent="0.3">
      <c r="A11" s="564">
        <v>4349</v>
      </c>
      <c r="B11" s="1147" t="s">
        <v>454</v>
      </c>
      <c r="C11" s="1148"/>
      <c r="D11" s="386">
        <v>100</v>
      </c>
      <c r="E11" s="387">
        <v>0</v>
      </c>
      <c r="F11" s="386">
        <v>100</v>
      </c>
      <c r="G11" s="398">
        <v>100</v>
      </c>
      <c r="H11" s="399">
        <v>0</v>
      </c>
      <c r="I11" s="956">
        <v>0</v>
      </c>
      <c r="J11" s="400">
        <f t="shared" si="0"/>
        <v>0</v>
      </c>
      <c r="K11" s="401">
        <f t="shared" si="1"/>
        <v>0</v>
      </c>
      <c r="L11" s="969"/>
    </row>
    <row r="12" spans="1:12" s="63" customFormat="1" ht="20.100000000000001" customHeight="1" x14ac:dyDescent="0.3">
      <c r="A12" s="428">
        <v>5219</v>
      </c>
      <c r="B12" s="1147" t="s">
        <v>499</v>
      </c>
      <c r="C12" s="1148"/>
      <c r="D12" s="497">
        <v>0</v>
      </c>
      <c r="E12" s="387">
        <v>1000</v>
      </c>
      <c r="F12" s="497">
        <v>0</v>
      </c>
      <c r="G12" s="398">
        <v>0</v>
      </c>
      <c r="H12" s="399">
        <v>0</v>
      </c>
      <c r="I12" s="956">
        <v>0</v>
      </c>
      <c r="J12" s="400" t="s">
        <v>58</v>
      </c>
      <c r="K12" s="401" t="s">
        <v>58</v>
      </c>
      <c r="L12" s="969"/>
    </row>
    <row r="13" spans="1:12" s="63" customFormat="1" ht="30" customHeight="1" x14ac:dyDescent="0.3">
      <c r="A13" s="917">
        <v>5599</v>
      </c>
      <c r="B13" s="1147" t="s">
        <v>557</v>
      </c>
      <c r="C13" s="1148"/>
      <c r="D13" s="497">
        <v>0</v>
      </c>
      <c r="E13" s="387">
        <v>0</v>
      </c>
      <c r="F13" s="497">
        <v>0</v>
      </c>
      <c r="G13" s="398">
        <v>150</v>
      </c>
      <c r="H13" s="399">
        <v>150</v>
      </c>
      <c r="I13" s="956">
        <v>0</v>
      </c>
      <c r="J13" s="400" t="s">
        <v>58</v>
      </c>
      <c r="K13" s="401">
        <f t="shared" ref="K13" si="2">I13/G13*100</f>
        <v>0</v>
      </c>
      <c r="L13" s="969"/>
    </row>
    <row r="14" spans="1:12" ht="20.100000000000001" customHeight="1" x14ac:dyDescent="0.3">
      <c r="A14" s="1153">
        <v>6113</v>
      </c>
      <c r="B14" s="1147" t="s">
        <v>113</v>
      </c>
      <c r="C14" s="1148"/>
      <c r="D14" s="740">
        <v>54942</v>
      </c>
      <c r="E14" s="396">
        <v>48918.84</v>
      </c>
      <c r="F14" s="740">
        <v>56427</v>
      </c>
      <c r="G14" s="398">
        <v>59020.15</v>
      </c>
      <c r="H14" s="399">
        <v>38553.49</v>
      </c>
      <c r="I14" s="956">
        <v>62000</v>
      </c>
      <c r="J14" s="400">
        <f t="shared" si="0"/>
        <v>109.87647757279318</v>
      </c>
      <c r="K14" s="401">
        <f t="shared" si="1"/>
        <v>105.04886890324745</v>
      </c>
      <c r="L14" s="969"/>
    </row>
    <row r="15" spans="1:12" ht="15" customHeight="1" x14ac:dyDescent="0.3">
      <c r="A15" s="1154"/>
      <c r="B15" s="551" t="s">
        <v>92</v>
      </c>
      <c r="C15" s="565" t="s">
        <v>345</v>
      </c>
      <c r="D15" s="79">
        <v>45500</v>
      </c>
      <c r="E15" s="96">
        <v>41528.65</v>
      </c>
      <c r="F15" s="79">
        <v>45500</v>
      </c>
      <c r="G15" s="80">
        <v>45500</v>
      </c>
      <c r="H15" s="81">
        <v>32650.799999999999</v>
      </c>
      <c r="I15" s="957">
        <v>49500</v>
      </c>
      <c r="J15" s="126">
        <f t="shared" si="0"/>
        <v>108.79120879120879</v>
      </c>
      <c r="K15" s="72">
        <f t="shared" si="1"/>
        <v>108.79120879120879</v>
      </c>
      <c r="L15" s="969"/>
    </row>
    <row r="16" spans="1:12" ht="20.100000000000001" customHeight="1" x14ac:dyDescent="0.3">
      <c r="A16" s="428">
        <v>6172</v>
      </c>
      <c r="B16" s="1147" t="s">
        <v>99</v>
      </c>
      <c r="C16" s="1148"/>
      <c r="D16" s="395">
        <v>17120</v>
      </c>
      <c r="E16" s="396">
        <v>8111.83</v>
      </c>
      <c r="F16" s="395">
        <v>12635</v>
      </c>
      <c r="G16" s="419">
        <v>12635</v>
      </c>
      <c r="H16" s="426">
        <v>3732.93</v>
      </c>
      <c r="I16" s="956">
        <v>8152</v>
      </c>
      <c r="J16" s="400">
        <f t="shared" si="0"/>
        <v>64.519192718638706</v>
      </c>
      <c r="K16" s="401">
        <f t="shared" si="1"/>
        <v>64.519192718638706</v>
      </c>
      <c r="L16" s="969"/>
    </row>
    <row r="17" spans="1:12" s="63" customFormat="1" ht="20.100000000000001" customHeight="1" x14ac:dyDescent="0.3">
      <c r="A17" s="564">
        <v>6221</v>
      </c>
      <c r="B17" s="1147" t="s">
        <v>247</v>
      </c>
      <c r="C17" s="1148"/>
      <c r="D17" s="386">
        <v>100</v>
      </c>
      <c r="E17" s="387">
        <v>0</v>
      </c>
      <c r="F17" s="386">
        <v>100</v>
      </c>
      <c r="G17" s="398">
        <v>3100</v>
      </c>
      <c r="H17" s="399">
        <v>3000</v>
      </c>
      <c r="I17" s="956">
        <v>100</v>
      </c>
      <c r="J17" s="400">
        <f t="shared" si="0"/>
        <v>100</v>
      </c>
      <c r="K17" s="401">
        <f t="shared" si="1"/>
        <v>3.225806451612903</v>
      </c>
      <c r="L17" s="969"/>
    </row>
    <row r="18" spans="1:12" ht="20.100000000000001" customHeight="1" x14ac:dyDescent="0.3">
      <c r="A18" s="423">
        <v>6223</v>
      </c>
      <c r="B18" s="1147" t="s">
        <v>455</v>
      </c>
      <c r="C18" s="1148"/>
      <c r="D18" s="417">
        <v>1100</v>
      </c>
      <c r="E18" s="439">
        <v>1442.62</v>
      </c>
      <c r="F18" s="417">
        <v>1100</v>
      </c>
      <c r="G18" s="419">
        <v>1500</v>
      </c>
      <c r="H18" s="426">
        <v>603.28</v>
      </c>
      <c r="I18" s="956">
        <v>1100</v>
      </c>
      <c r="J18" s="400">
        <f t="shared" si="0"/>
        <v>100</v>
      </c>
      <c r="K18" s="401">
        <f t="shared" si="1"/>
        <v>73.333333333333329</v>
      </c>
      <c r="L18" s="969"/>
    </row>
    <row r="19" spans="1:12" ht="20.100000000000001" customHeight="1" x14ac:dyDescent="0.3">
      <c r="A19" s="423">
        <v>6229</v>
      </c>
      <c r="B19" s="1147" t="s">
        <v>452</v>
      </c>
      <c r="C19" s="1148"/>
      <c r="D19" s="417">
        <v>0</v>
      </c>
      <c r="E19" s="439">
        <v>1000</v>
      </c>
      <c r="F19" s="417">
        <v>0</v>
      </c>
      <c r="G19" s="419">
        <v>0</v>
      </c>
      <c r="H19" s="426">
        <v>0</v>
      </c>
      <c r="I19" s="956">
        <v>0</v>
      </c>
      <c r="J19" s="400" t="s">
        <v>58</v>
      </c>
      <c r="K19" s="401" t="s">
        <v>58</v>
      </c>
      <c r="L19" s="969"/>
    </row>
    <row r="20" spans="1:12" ht="30" customHeight="1" x14ac:dyDescent="0.3">
      <c r="A20" s="423">
        <v>6330</v>
      </c>
      <c r="B20" s="1147" t="s">
        <v>183</v>
      </c>
      <c r="C20" s="1148"/>
      <c r="D20" s="417">
        <v>0</v>
      </c>
      <c r="E20" s="439">
        <v>1270</v>
      </c>
      <c r="F20" s="417">
        <v>0</v>
      </c>
      <c r="G20" s="419">
        <v>1270</v>
      </c>
      <c r="H20" s="426">
        <v>952.5</v>
      </c>
      <c r="I20" s="956">
        <v>0</v>
      </c>
      <c r="J20" s="400" t="s">
        <v>58</v>
      </c>
      <c r="K20" s="401">
        <f t="shared" si="1"/>
        <v>0</v>
      </c>
      <c r="L20" s="969"/>
    </row>
    <row r="21" spans="1:12" ht="20.100000000000001" customHeight="1" thickBot="1" x14ac:dyDescent="0.35">
      <c r="A21" s="423">
        <v>6409</v>
      </c>
      <c r="B21" s="1149" t="s">
        <v>252</v>
      </c>
      <c r="C21" s="1150"/>
      <c r="D21" s="417">
        <v>1270</v>
      </c>
      <c r="E21" s="439">
        <v>0</v>
      </c>
      <c r="F21" s="417">
        <v>1270</v>
      </c>
      <c r="G21" s="419">
        <v>0</v>
      </c>
      <c r="H21" s="426">
        <v>0</v>
      </c>
      <c r="I21" s="958">
        <v>1380</v>
      </c>
      <c r="J21" s="400">
        <f t="shared" si="0"/>
        <v>108.66141732283465</v>
      </c>
      <c r="K21" s="401" t="s">
        <v>58</v>
      </c>
      <c r="L21" s="969"/>
    </row>
    <row r="22" spans="1:12" s="89" customFormat="1" ht="20.100000000000001" customHeight="1" thickBot="1" x14ac:dyDescent="0.35">
      <c r="A22" s="174"/>
      <c r="B22" s="1151" t="s">
        <v>82</v>
      </c>
      <c r="C22" s="1152"/>
      <c r="D22" s="169">
        <f>SUM(D9:D14)+SUM(D16:D21)</f>
        <v>78132</v>
      </c>
      <c r="E22" s="170">
        <f t="shared" ref="E22:F22" si="3">SUM(E9:E14)+SUM(E16:E21)</f>
        <v>64516.160000000003</v>
      </c>
      <c r="F22" s="545">
        <f t="shared" si="3"/>
        <v>75132</v>
      </c>
      <c r="G22" s="185">
        <f>SUM(G9:G14)+SUM(G16:G21)</f>
        <v>81125.149999999994</v>
      </c>
      <c r="H22" s="546">
        <f>SUM(H9:H14)+SUM(H16:H21)</f>
        <v>49728</v>
      </c>
      <c r="I22" s="872">
        <f>SUM(I9:I14)+SUM(I16:I21)</f>
        <v>75132</v>
      </c>
      <c r="J22" s="172">
        <f t="shared" si="0"/>
        <v>100</v>
      </c>
      <c r="K22" s="173">
        <f t="shared" si="1"/>
        <v>92.61246358250186</v>
      </c>
      <c r="L22" s="158"/>
    </row>
    <row r="23" spans="1:12" ht="15" customHeight="1" x14ac:dyDescent="0.3">
      <c r="A23" s="69"/>
      <c r="B23" s="20"/>
      <c r="C23" s="20"/>
      <c r="D23" s="159"/>
      <c r="E23" s="158"/>
      <c r="F23" s="159"/>
      <c r="G23" s="161"/>
      <c r="H23" s="161"/>
      <c r="I23" s="161"/>
      <c r="J23" s="24"/>
      <c r="K23" s="25"/>
      <c r="L23" s="970"/>
    </row>
    <row r="24" spans="1:12" ht="15" customHeight="1" x14ac:dyDescent="0.3">
      <c r="A24" s="1"/>
      <c r="B24" s="20"/>
      <c r="C24" s="20"/>
      <c r="D24" s="158"/>
      <c r="E24" s="158"/>
      <c r="F24" s="158"/>
      <c r="G24" s="158"/>
      <c r="H24" s="158"/>
      <c r="I24" s="158"/>
      <c r="J24" s="158"/>
      <c r="K24" s="158"/>
      <c r="L24" s="970"/>
    </row>
    <row r="25" spans="1:12" x14ac:dyDescent="0.3">
      <c r="D25" s="3"/>
      <c r="F25" s="3"/>
      <c r="I25" s="3"/>
      <c r="J25" s="892"/>
    </row>
  </sheetData>
  <sortState xmlns:xlrd2="http://schemas.microsoft.com/office/spreadsheetml/2017/richdata2" ref="C27:L45">
    <sortCondition ref="J27:J45"/>
  </sortState>
  <mergeCells count="22">
    <mergeCell ref="A2:K2"/>
    <mergeCell ref="A6:A7"/>
    <mergeCell ref="D6:E6"/>
    <mergeCell ref="F6:H6"/>
    <mergeCell ref="J6:J7"/>
    <mergeCell ref="K6:K7"/>
    <mergeCell ref="B6:C7"/>
    <mergeCell ref="I6:I7"/>
    <mergeCell ref="B10:C10"/>
    <mergeCell ref="B9:C9"/>
    <mergeCell ref="B11:C11"/>
    <mergeCell ref="B14:C14"/>
    <mergeCell ref="B16:C16"/>
    <mergeCell ref="B12:C12"/>
    <mergeCell ref="B13:C13"/>
    <mergeCell ref="B20:C20"/>
    <mergeCell ref="B21:C21"/>
    <mergeCell ref="B22:C22"/>
    <mergeCell ref="A14:A15"/>
    <mergeCell ref="B17:C17"/>
    <mergeCell ref="B18:C18"/>
    <mergeCell ref="B19:C19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55" fitToHeight="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9"/>
  <sheetViews>
    <sheetView workbookViewId="0">
      <selection activeCell="C1" sqref="C1"/>
    </sheetView>
  </sheetViews>
  <sheetFormatPr defaultColWidth="9.109375" defaultRowHeight="13.8" x14ac:dyDescent="0.3"/>
  <cols>
    <col min="1" max="1" width="7.6640625" style="66" customWidth="1"/>
    <col min="2" max="2" width="6.6640625" style="1" customWidth="1"/>
    <col min="3" max="3" width="41.6640625" style="1" customWidth="1"/>
    <col min="4" max="4" width="14.6640625" style="2" customWidth="1"/>
    <col min="5" max="5" width="14.6640625" style="3" customWidth="1"/>
    <col min="6" max="6" width="14.6640625" style="2" customWidth="1"/>
    <col min="7" max="7" width="16.33203125" style="3" customWidth="1"/>
    <col min="8" max="8" width="14.6640625" style="3" customWidth="1"/>
    <col min="9" max="9" width="14.6640625" style="697" customWidth="1"/>
    <col min="10" max="11" width="9.6640625" style="5" customWidth="1"/>
    <col min="12" max="12" width="11.5546875" style="1" bestFit="1" customWidth="1"/>
    <col min="13" max="14" width="9.44140625" style="1" bestFit="1" customWidth="1"/>
    <col min="15" max="16384" width="9.109375" style="1"/>
  </cols>
  <sheetData>
    <row r="1" spans="1:14" ht="15" customHeight="1" x14ac:dyDescent="0.3">
      <c r="C1" s="1" t="s">
        <v>574</v>
      </c>
      <c r="K1" s="6"/>
    </row>
    <row r="2" spans="1:14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</row>
    <row r="3" spans="1:14" ht="15" customHeight="1" x14ac:dyDescent="0.3"/>
    <row r="4" spans="1:14" ht="20.100000000000001" customHeight="1" x14ac:dyDescent="0.3">
      <c r="A4" s="67" t="s">
        <v>225</v>
      </c>
      <c r="J4" s="8"/>
    </row>
    <row r="5" spans="1:14" ht="15" customHeight="1" thickBot="1" x14ac:dyDescent="0.35">
      <c r="A5" s="67"/>
      <c r="K5" s="8" t="s">
        <v>0</v>
      </c>
    </row>
    <row r="6" spans="1:14" s="62" customFormat="1" ht="15.9" customHeight="1" x14ac:dyDescent="0.2">
      <c r="A6" s="1159" t="s">
        <v>85</v>
      </c>
      <c r="B6" s="1165" t="s">
        <v>97</v>
      </c>
      <c r="C6" s="1166"/>
      <c r="D6" s="1060" t="s">
        <v>402</v>
      </c>
      <c r="E6" s="1061"/>
      <c r="F6" s="1060" t="s">
        <v>450</v>
      </c>
      <c r="G6" s="1064"/>
      <c r="H6" s="1061"/>
      <c r="I6" s="1169" t="s">
        <v>507</v>
      </c>
      <c r="J6" s="1161" t="s">
        <v>508</v>
      </c>
      <c r="K6" s="1163" t="s">
        <v>509</v>
      </c>
    </row>
    <row r="7" spans="1:14" s="62" customFormat="1" ht="30.9" customHeight="1" thickBot="1" x14ac:dyDescent="0.25">
      <c r="A7" s="1160"/>
      <c r="B7" s="1167"/>
      <c r="C7" s="1168"/>
      <c r="D7" s="236" t="s">
        <v>103</v>
      </c>
      <c r="E7" s="835" t="s">
        <v>520</v>
      </c>
      <c r="F7" s="236" t="s">
        <v>103</v>
      </c>
      <c r="G7" s="237" t="s">
        <v>556</v>
      </c>
      <c r="H7" s="238" t="s">
        <v>555</v>
      </c>
      <c r="I7" s="1170"/>
      <c r="J7" s="1162"/>
      <c r="K7" s="1164"/>
    </row>
    <row r="8" spans="1:14" s="9" customFormat="1" ht="20.100000000000001" customHeight="1" thickBot="1" x14ac:dyDescent="0.35">
      <c r="A8" s="68"/>
      <c r="B8" s="10" t="s">
        <v>98</v>
      </c>
      <c r="C8" s="10"/>
      <c r="D8" s="11"/>
      <c r="E8" s="12"/>
      <c r="F8" s="11"/>
      <c r="G8" s="13"/>
      <c r="H8" s="13"/>
      <c r="I8" s="239"/>
      <c r="J8" s="16"/>
      <c r="K8" s="16"/>
    </row>
    <row r="9" spans="1:14" s="66" customFormat="1" ht="20.100000000000001" customHeight="1" x14ac:dyDescent="0.25">
      <c r="A9" s="1179">
        <v>6172</v>
      </c>
      <c r="B9" s="1175" t="s">
        <v>99</v>
      </c>
      <c r="C9" s="1176"/>
      <c r="D9" s="412">
        <v>85849</v>
      </c>
      <c r="E9" s="411">
        <f>SUM(E10:E17)</f>
        <v>62959.53</v>
      </c>
      <c r="F9" s="412">
        <v>84395</v>
      </c>
      <c r="G9" s="411">
        <f>SUM(G10:G17)</f>
        <v>82693.119999999995</v>
      </c>
      <c r="H9" s="411">
        <f>SUM(H10:H17)</f>
        <v>44153.639999999992</v>
      </c>
      <c r="I9" s="972">
        <f>SUM(I10:I17)</f>
        <v>79293</v>
      </c>
      <c r="J9" s="416">
        <f>I9/F9*100</f>
        <v>93.954618164583209</v>
      </c>
      <c r="K9" s="383">
        <f>I9/G9*100</f>
        <v>95.888267367345676</v>
      </c>
      <c r="L9" s="306"/>
    </row>
    <row r="10" spans="1:14" s="66" customFormat="1" ht="15" customHeight="1" x14ac:dyDescent="0.25">
      <c r="A10" s="1154"/>
      <c r="B10" s="1171" t="s">
        <v>92</v>
      </c>
      <c r="C10" s="570" t="s">
        <v>413</v>
      </c>
      <c r="D10" s="82">
        <v>43</v>
      </c>
      <c r="E10" s="314">
        <v>44.74</v>
      </c>
      <c r="F10" s="82">
        <v>45</v>
      </c>
      <c r="G10" s="771">
        <v>46</v>
      </c>
      <c r="H10" s="772">
        <v>45.81</v>
      </c>
      <c r="I10" s="962">
        <v>46</v>
      </c>
      <c r="J10" s="91">
        <f>I10/F10*100</f>
        <v>102.22222222222221</v>
      </c>
      <c r="K10" s="78">
        <f>I10/G10*100</f>
        <v>100</v>
      </c>
      <c r="L10" s="306"/>
    </row>
    <row r="11" spans="1:14" s="66" customFormat="1" ht="15" customHeight="1" x14ac:dyDescent="0.25">
      <c r="A11" s="1154"/>
      <c r="B11" s="1172"/>
      <c r="C11" s="570" t="s">
        <v>414</v>
      </c>
      <c r="D11" s="82">
        <v>12994</v>
      </c>
      <c r="E11" s="314">
        <v>7251.07</v>
      </c>
      <c r="F11" s="82">
        <v>12994</v>
      </c>
      <c r="G11" s="771">
        <v>11572.63</v>
      </c>
      <c r="H11" s="772">
        <v>6572.36</v>
      </c>
      <c r="I11" s="962">
        <v>11330</v>
      </c>
      <c r="J11" s="91">
        <f t="shared" ref="J11:J24" si="0">I11/F11*100</f>
        <v>87.194089579806061</v>
      </c>
      <c r="K11" s="78">
        <f t="shared" ref="K11:K24" si="1">I11/G11*100</f>
        <v>97.903415213309344</v>
      </c>
      <c r="L11" s="306"/>
    </row>
    <row r="12" spans="1:14" s="66" customFormat="1" ht="15" customHeight="1" x14ac:dyDescent="0.25">
      <c r="A12" s="1154"/>
      <c r="B12" s="1172"/>
      <c r="C12" s="570" t="s">
        <v>242</v>
      </c>
      <c r="D12" s="82">
        <v>35</v>
      </c>
      <c r="E12" s="314">
        <v>9.0500000000000007</v>
      </c>
      <c r="F12" s="82">
        <v>35</v>
      </c>
      <c r="G12" s="771">
        <v>35</v>
      </c>
      <c r="H12" s="772">
        <v>4.37</v>
      </c>
      <c r="I12" s="962">
        <v>15</v>
      </c>
      <c r="J12" s="91">
        <f t="shared" si="0"/>
        <v>42.857142857142854</v>
      </c>
      <c r="K12" s="78">
        <f t="shared" si="1"/>
        <v>42.857142857142854</v>
      </c>
      <c r="L12" s="306"/>
    </row>
    <row r="13" spans="1:14" s="66" customFormat="1" ht="15" customHeight="1" x14ac:dyDescent="0.25">
      <c r="A13" s="1154"/>
      <c r="B13" s="1172"/>
      <c r="C13" s="570" t="s">
        <v>415</v>
      </c>
      <c r="D13" s="82">
        <v>21454</v>
      </c>
      <c r="E13" s="314">
        <v>14598.69</v>
      </c>
      <c r="F13" s="82">
        <v>20000</v>
      </c>
      <c r="G13" s="771">
        <v>20000</v>
      </c>
      <c r="H13" s="772">
        <v>8898.1</v>
      </c>
      <c r="I13" s="962">
        <v>21510</v>
      </c>
      <c r="J13" s="91">
        <f t="shared" si="0"/>
        <v>107.54999999999998</v>
      </c>
      <c r="K13" s="78">
        <f t="shared" si="1"/>
        <v>107.54999999999998</v>
      </c>
      <c r="L13" s="700"/>
      <c r="M13" s="700"/>
      <c r="N13" s="700"/>
    </row>
    <row r="14" spans="1:14" s="66" customFormat="1" ht="15" customHeight="1" x14ac:dyDescent="0.25">
      <c r="A14" s="1154"/>
      <c r="B14" s="1172"/>
      <c r="C14" s="570" t="s">
        <v>416</v>
      </c>
      <c r="D14" s="82">
        <v>27902</v>
      </c>
      <c r="E14" s="314">
        <v>25088.31</v>
      </c>
      <c r="F14" s="82">
        <v>32402</v>
      </c>
      <c r="G14" s="771">
        <v>34055.49</v>
      </c>
      <c r="H14" s="772">
        <v>19091.099999999999</v>
      </c>
      <c r="I14" s="962">
        <v>29032</v>
      </c>
      <c r="J14" s="91">
        <f t="shared" si="0"/>
        <v>89.59940744398493</v>
      </c>
      <c r="K14" s="78">
        <f t="shared" si="1"/>
        <v>85.249103742157288</v>
      </c>
      <c r="M14" s="306"/>
      <c r="N14" s="306"/>
    </row>
    <row r="15" spans="1:14" s="66" customFormat="1" ht="15" customHeight="1" x14ac:dyDescent="0.25">
      <c r="A15" s="1154"/>
      <c r="B15" s="1172"/>
      <c r="C15" s="570" t="s">
        <v>417</v>
      </c>
      <c r="D15" s="82">
        <v>22326</v>
      </c>
      <c r="E15" s="314">
        <v>15090.93</v>
      </c>
      <c r="F15" s="82">
        <v>17824</v>
      </c>
      <c r="G15" s="771">
        <v>15969</v>
      </c>
      <c r="H15" s="772">
        <v>8446.81</v>
      </c>
      <c r="I15" s="962">
        <v>16305</v>
      </c>
      <c r="J15" s="91">
        <f t="shared" si="0"/>
        <v>91.477782764811494</v>
      </c>
      <c r="K15" s="78">
        <f t="shared" si="1"/>
        <v>102.10407664850649</v>
      </c>
      <c r="L15" s="306"/>
    </row>
    <row r="16" spans="1:14" s="66" customFormat="1" ht="27" customHeight="1" x14ac:dyDescent="0.25">
      <c r="A16" s="1154"/>
      <c r="B16" s="1172"/>
      <c r="C16" s="565" t="s">
        <v>291</v>
      </c>
      <c r="D16" s="82">
        <v>210</v>
      </c>
      <c r="E16" s="314">
        <v>0</v>
      </c>
      <c r="F16" s="82">
        <v>210</v>
      </c>
      <c r="G16" s="771">
        <v>210</v>
      </c>
      <c r="H16" s="772">
        <v>516.35</v>
      </c>
      <c r="I16" s="962">
        <v>100</v>
      </c>
      <c r="J16" s="91">
        <f t="shared" si="0"/>
        <v>47.619047619047613</v>
      </c>
      <c r="K16" s="78">
        <f t="shared" si="1"/>
        <v>47.619047619047613</v>
      </c>
      <c r="L16" s="306"/>
    </row>
    <row r="17" spans="1:12" s="66" customFormat="1" ht="27" customHeight="1" x14ac:dyDescent="0.25">
      <c r="A17" s="1154"/>
      <c r="B17" s="1172"/>
      <c r="C17" s="565" t="s">
        <v>243</v>
      </c>
      <c r="D17" s="82">
        <v>885</v>
      </c>
      <c r="E17" s="314">
        <v>876.74</v>
      </c>
      <c r="F17" s="82">
        <v>885</v>
      </c>
      <c r="G17" s="771">
        <v>805</v>
      </c>
      <c r="H17" s="772">
        <v>578.74</v>
      </c>
      <c r="I17" s="962">
        <v>955</v>
      </c>
      <c r="J17" s="91">
        <f t="shared" si="0"/>
        <v>107.90960451977401</v>
      </c>
      <c r="K17" s="78">
        <f t="shared" si="1"/>
        <v>118.63354037267079</v>
      </c>
      <c r="L17" s="306"/>
    </row>
    <row r="18" spans="1:12" s="66" customFormat="1" ht="15" customHeight="1" x14ac:dyDescent="0.25">
      <c r="A18" s="1154"/>
      <c r="B18" s="1180" t="s">
        <v>92</v>
      </c>
      <c r="C18" s="565" t="s">
        <v>135</v>
      </c>
      <c r="D18" s="79">
        <v>17489</v>
      </c>
      <c r="E18" s="92">
        <v>11017.58</v>
      </c>
      <c r="F18" s="82">
        <v>12987</v>
      </c>
      <c r="G18" s="771">
        <v>10187</v>
      </c>
      <c r="H18" s="772">
        <v>4993</v>
      </c>
      <c r="I18" s="962">
        <v>10272</v>
      </c>
      <c r="J18" s="91">
        <f t="shared" si="0"/>
        <v>79.094479094479098</v>
      </c>
      <c r="K18" s="78">
        <f t="shared" si="1"/>
        <v>100.83439678021007</v>
      </c>
    </row>
    <row r="19" spans="1:12" s="66" customFormat="1" ht="15" customHeight="1" x14ac:dyDescent="0.25">
      <c r="A19" s="1174"/>
      <c r="B19" s="1181"/>
      <c r="C19" s="705" t="s">
        <v>380</v>
      </c>
      <c r="D19" s="82">
        <v>14002</v>
      </c>
      <c r="E19" s="81">
        <v>10828.29</v>
      </c>
      <c r="F19" s="82">
        <v>14002</v>
      </c>
      <c r="G19" s="771">
        <v>12548</v>
      </c>
      <c r="H19" s="772">
        <v>6656.12</v>
      </c>
      <c r="I19" s="962">
        <v>12000</v>
      </c>
      <c r="J19" s="91">
        <f t="shared" si="0"/>
        <v>85.702042565347796</v>
      </c>
      <c r="K19" s="78">
        <f t="shared" si="1"/>
        <v>95.63277016257571</v>
      </c>
    </row>
    <row r="20" spans="1:12" s="66" customFormat="1" ht="18.75" customHeight="1" x14ac:dyDescent="0.25">
      <c r="A20" s="1154">
        <v>6223</v>
      </c>
      <c r="B20" s="1177" t="s">
        <v>455</v>
      </c>
      <c r="C20" s="1178"/>
      <c r="D20" s="386">
        <v>760</v>
      </c>
      <c r="E20" s="491">
        <f t="shared" ref="E20:H20" si="2">SUM(E21:E23)</f>
        <v>235.70999999999998</v>
      </c>
      <c r="F20" s="796">
        <v>760</v>
      </c>
      <c r="G20" s="495">
        <f t="shared" si="2"/>
        <v>760</v>
      </c>
      <c r="H20" s="390">
        <f t="shared" si="2"/>
        <v>261.89</v>
      </c>
      <c r="I20" s="960">
        <f>SUM(I21:I23)</f>
        <v>760</v>
      </c>
      <c r="J20" s="414">
        <f t="shared" si="0"/>
        <v>100</v>
      </c>
      <c r="K20" s="415">
        <f t="shared" si="1"/>
        <v>100</v>
      </c>
    </row>
    <row r="21" spans="1:12" s="848" customFormat="1" x14ac:dyDescent="0.25">
      <c r="A21" s="1154"/>
      <c r="B21" s="1171" t="s">
        <v>92</v>
      </c>
      <c r="C21" s="570" t="s">
        <v>416</v>
      </c>
      <c r="D21" s="82">
        <v>10</v>
      </c>
      <c r="E21" s="92">
        <v>5.64</v>
      </c>
      <c r="F21" s="82">
        <v>20</v>
      </c>
      <c r="G21" s="940">
        <v>20</v>
      </c>
      <c r="H21" s="941">
        <v>1.94</v>
      </c>
      <c r="I21" s="973">
        <v>20</v>
      </c>
      <c r="J21" s="91">
        <f t="shared" si="0"/>
        <v>100</v>
      </c>
      <c r="K21" s="78">
        <f t="shared" si="1"/>
        <v>100</v>
      </c>
    </row>
    <row r="22" spans="1:12" s="66" customFormat="1" x14ac:dyDescent="0.25">
      <c r="A22" s="1154"/>
      <c r="B22" s="1172"/>
      <c r="C22" s="570" t="s">
        <v>417</v>
      </c>
      <c r="D22" s="82">
        <v>740</v>
      </c>
      <c r="E22" s="92">
        <v>230.07</v>
      </c>
      <c r="F22" s="82">
        <v>730</v>
      </c>
      <c r="G22" s="940">
        <v>730</v>
      </c>
      <c r="H22" s="941">
        <v>259.95</v>
      </c>
      <c r="I22" s="973">
        <v>730</v>
      </c>
      <c r="J22" s="91">
        <f t="shared" si="0"/>
        <v>100</v>
      </c>
      <c r="K22" s="78">
        <f t="shared" si="1"/>
        <v>100</v>
      </c>
    </row>
    <row r="23" spans="1:12" s="66" customFormat="1" ht="27" customHeight="1" thickBot="1" x14ac:dyDescent="0.3">
      <c r="A23" s="1174"/>
      <c r="B23" s="1173"/>
      <c r="C23" s="565" t="s">
        <v>291</v>
      </c>
      <c r="D23" s="82">
        <v>10</v>
      </c>
      <c r="E23" s="92">
        <v>0</v>
      </c>
      <c r="F23" s="82">
        <v>10</v>
      </c>
      <c r="G23" s="940">
        <v>10</v>
      </c>
      <c r="H23" s="941">
        <v>0</v>
      </c>
      <c r="I23" s="973">
        <v>10</v>
      </c>
      <c r="J23" s="91">
        <f t="shared" si="0"/>
        <v>100</v>
      </c>
      <c r="K23" s="78">
        <f t="shared" si="1"/>
        <v>100</v>
      </c>
    </row>
    <row r="24" spans="1:12" s="66" customFormat="1" ht="20.100000000000001" customHeight="1" thickBot="1" x14ac:dyDescent="0.3">
      <c r="A24" s="174"/>
      <c r="B24" s="1151" t="s">
        <v>82</v>
      </c>
      <c r="C24" s="1152"/>
      <c r="D24" s="169">
        <f t="shared" ref="D24:H24" si="3">+D9+D20</f>
        <v>86609</v>
      </c>
      <c r="E24" s="170">
        <f t="shared" si="3"/>
        <v>63195.24</v>
      </c>
      <c r="F24" s="169">
        <f t="shared" si="3"/>
        <v>85155</v>
      </c>
      <c r="G24" s="171">
        <f t="shared" si="3"/>
        <v>83453.119999999995</v>
      </c>
      <c r="H24" s="170">
        <f t="shared" si="3"/>
        <v>44415.529999999992</v>
      </c>
      <c r="I24" s="959">
        <f>+I9+I20</f>
        <v>80053</v>
      </c>
      <c r="J24" s="172">
        <f t="shared" si="0"/>
        <v>94.0085726029006</v>
      </c>
      <c r="K24" s="173">
        <f t="shared" si="1"/>
        <v>95.925712543761094</v>
      </c>
    </row>
    <row r="25" spans="1:12" ht="14.4" x14ac:dyDescent="0.3">
      <c r="A25" s="69"/>
      <c r="B25" s="20"/>
      <c r="C25" s="20"/>
      <c r="D25" s="159"/>
      <c r="E25" s="158"/>
      <c r="F25" s="159"/>
      <c r="G25" s="161"/>
      <c r="H25" s="161"/>
      <c r="I25" s="161"/>
      <c r="J25" s="24"/>
      <c r="K25" s="25"/>
    </row>
    <row r="26" spans="1:12" ht="14.4" x14ac:dyDescent="0.3">
      <c r="A26" s="69"/>
      <c r="B26" s="20"/>
      <c r="C26" s="20"/>
      <c r="D26" s="158"/>
      <c r="E26" s="158"/>
      <c r="F26" s="158"/>
      <c r="G26" s="158"/>
      <c r="H26" s="158"/>
      <c r="I26" s="158"/>
      <c r="J26" s="971"/>
      <c r="K26" s="25"/>
    </row>
    <row r="27" spans="1:12" x14ac:dyDescent="0.3">
      <c r="A27" s="70"/>
      <c r="D27" s="3"/>
      <c r="F27" s="3"/>
      <c r="I27" s="3"/>
      <c r="J27" s="892"/>
    </row>
    <row r="29" spans="1:12" ht="15.6" x14ac:dyDescent="0.3">
      <c r="A29" s="19"/>
    </row>
  </sheetData>
  <mergeCells count="16">
    <mergeCell ref="A2:K2"/>
    <mergeCell ref="A6:A7"/>
    <mergeCell ref="D6:E6"/>
    <mergeCell ref="F6:H6"/>
    <mergeCell ref="J6:J7"/>
    <mergeCell ref="K6:K7"/>
    <mergeCell ref="B6:C7"/>
    <mergeCell ref="I6:I7"/>
    <mergeCell ref="B24:C24"/>
    <mergeCell ref="B21:B23"/>
    <mergeCell ref="A20:A23"/>
    <mergeCell ref="B9:C9"/>
    <mergeCell ref="B20:C20"/>
    <mergeCell ref="B10:B17"/>
    <mergeCell ref="A9:A19"/>
    <mergeCell ref="B18:B19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5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L15"/>
  <sheetViews>
    <sheetView workbookViewId="0">
      <selection activeCell="C1" sqref="C1"/>
    </sheetView>
  </sheetViews>
  <sheetFormatPr defaultColWidth="9.109375" defaultRowHeight="13.8" x14ac:dyDescent="0.3"/>
  <cols>
    <col min="1" max="1" width="7.6640625" style="1" customWidth="1"/>
    <col min="2" max="2" width="6.6640625" style="1" customWidth="1"/>
    <col min="3" max="3" width="41.6640625" style="1" customWidth="1"/>
    <col min="4" max="4" width="14.6640625" style="2" customWidth="1"/>
    <col min="5" max="5" width="13.6640625" style="3" customWidth="1"/>
    <col min="6" max="6" width="14.6640625" style="2" customWidth="1"/>
    <col min="7" max="7" width="16.33203125" style="3" customWidth="1"/>
    <col min="8" max="8" width="14.6640625" style="3" customWidth="1"/>
    <col min="9" max="9" width="14.6640625" style="697" customWidth="1"/>
    <col min="10" max="11" width="9.6640625" style="5" customWidth="1"/>
    <col min="12" max="16384" width="9.109375" style="1"/>
  </cols>
  <sheetData>
    <row r="1" spans="1:12" ht="14.4" x14ac:dyDescent="0.3">
      <c r="C1" s="1" t="s">
        <v>574</v>
      </c>
      <c r="K1" s="6"/>
    </row>
    <row r="2" spans="1:12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</row>
    <row r="3" spans="1:12" ht="15" customHeight="1" x14ac:dyDescent="0.3"/>
    <row r="4" spans="1:12" ht="20.100000000000001" customHeight="1" x14ac:dyDescent="0.35">
      <c r="A4" s="7" t="s">
        <v>149</v>
      </c>
      <c r="J4" s="8"/>
    </row>
    <row r="5" spans="1:12" ht="15" customHeight="1" thickBot="1" x14ac:dyDescent="0.4">
      <c r="A5" s="7"/>
      <c r="K5" s="8" t="s">
        <v>0</v>
      </c>
    </row>
    <row r="6" spans="1:12" s="62" customFormat="1" ht="15.9" customHeight="1" x14ac:dyDescent="0.2">
      <c r="A6" s="1159" t="s">
        <v>85</v>
      </c>
      <c r="B6" s="1165" t="s">
        <v>97</v>
      </c>
      <c r="C6" s="1166"/>
      <c r="D6" s="1060" t="s">
        <v>402</v>
      </c>
      <c r="E6" s="1061"/>
      <c r="F6" s="1060" t="s">
        <v>450</v>
      </c>
      <c r="G6" s="1064"/>
      <c r="H6" s="1061"/>
      <c r="I6" s="1169" t="s">
        <v>507</v>
      </c>
      <c r="J6" s="1161" t="s">
        <v>508</v>
      </c>
      <c r="K6" s="1163" t="s">
        <v>509</v>
      </c>
    </row>
    <row r="7" spans="1:12" s="62" customFormat="1" ht="30.9" customHeight="1" thickBot="1" x14ac:dyDescent="0.25">
      <c r="A7" s="1160"/>
      <c r="B7" s="1167"/>
      <c r="C7" s="1168"/>
      <c r="D7" s="236" t="s">
        <v>103</v>
      </c>
      <c r="E7" s="835" t="s">
        <v>520</v>
      </c>
      <c r="F7" s="236" t="s">
        <v>103</v>
      </c>
      <c r="G7" s="237" t="s">
        <v>556</v>
      </c>
      <c r="H7" s="238" t="s">
        <v>555</v>
      </c>
      <c r="I7" s="1170"/>
      <c r="J7" s="1162"/>
      <c r="K7" s="1164"/>
    </row>
    <row r="8" spans="1:12" s="9" customFormat="1" ht="20.100000000000001" customHeight="1" thickBot="1" x14ac:dyDescent="0.35">
      <c r="B8" s="10" t="s">
        <v>98</v>
      </c>
      <c r="C8" s="10"/>
      <c r="D8" s="11"/>
      <c r="E8" s="12"/>
      <c r="F8" s="11"/>
      <c r="G8" s="13"/>
      <c r="H8" s="13"/>
      <c r="I8" s="239"/>
      <c r="J8" s="16"/>
      <c r="K8" s="16"/>
    </row>
    <row r="9" spans="1:12" s="410" customFormat="1" ht="20.100000000000001" customHeight="1" x14ac:dyDescent="0.25">
      <c r="A9" s="430">
        <v>6113</v>
      </c>
      <c r="B9" s="1175" t="s">
        <v>113</v>
      </c>
      <c r="C9" s="1176"/>
      <c r="D9" s="412">
        <v>530</v>
      </c>
      <c r="E9" s="431">
        <v>2537.42</v>
      </c>
      <c r="F9" s="412">
        <v>1590</v>
      </c>
      <c r="G9" s="494">
        <v>1590</v>
      </c>
      <c r="H9" s="432">
        <v>316.23</v>
      </c>
      <c r="I9" s="955">
        <v>1670</v>
      </c>
      <c r="J9" s="416">
        <f>I9/F9*100</f>
        <v>105.03144654088049</v>
      </c>
      <c r="K9" s="433">
        <f>I9/G9*100</f>
        <v>105.03144654088049</v>
      </c>
    </row>
    <row r="10" spans="1:12" s="410" customFormat="1" ht="20.100000000000001" customHeight="1" x14ac:dyDescent="0.25">
      <c r="A10" s="1153">
        <v>6172</v>
      </c>
      <c r="B10" s="1182" t="s">
        <v>99</v>
      </c>
      <c r="C10" s="1183"/>
      <c r="D10" s="450">
        <v>60344</v>
      </c>
      <c r="E10" s="418">
        <v>53821.02</v>
      </c>
      <c r="F10" s="450">
        <v>61484</v>
      </c>
      <c r="G10" s="448">
        <v>68155.960000000006</v>
      </c>
      <c r="H10" s="425">
        <v>44996.63</v>
      </c>
      <c r="I10" s="956">
        <v>71874</v>
      </c>
      <c r="J10" s="427">
        <f>I10/F10*100</f>
        <v>116.8987053542385</v>
      </c>
      <c r="K10" s="401">
        <f>I10/G10*100</f>
        <v>105.45519423393053</v>
      </c>
      <c r="L10" s="71"/>
    </row>
    <row r="11" spans="1:12" s="66" customFormat="1" ht="15" customHeight="1" thickBot="1" x14ac:dyDescent="0.3">
      <c r="A11" s="1174"/>
      <c r="B11" s="167" t="s">
        <v>92</v>
      </c>
      <c r="C11" s="565" t="s">
        <v>135</v>
      </c>
      <c r="D11" s="82">
        <v>250</v>
      </c>
      <c r="E11" s="74">
        <v>2.8</v>
      </c>
      <c r="F11" s="82">
        <v>200</v>
      </c>
      <c r="G11" s="359">
        <v>200</v>
      </c>
      <c r="H11" s="76">
        <v>7.7</v>
      </c>
      <c r="I11" s="957">
        <v>200</v>
      </c>
      <c r="J11" s="91">
        <f>I11/F11*100</f>
        <v>100</v>
      </c>
      <c r="K11" s="78">
        <f>I11/G11*100</f>
        <v>100</v>
      </c>
    </row>
    <row r="12" spans="1:12" s="89" customFormat="1" ht="20.100000000000001" customHeight="1" thickBot="1" x14ac:dyDescent="0.3">
      <c r="A12" s="174"/>
      <c r="B12" s="348" t="s">
        <v>82</v>
      </c>
      <c r="C12" s="569"/>
      <c r="D12" s="169">
        <f t="shared" ref="D12" si="0">+D9+D10</f>
        <v>60874</v>
      </c>
      <c r="E12" s="170">
        <f t="shared" ref="E12:I12" si="1">+E9+E10</f>
        <v>56358.439999999995</v>
      </c>
      <c r="F12" s="845">
        <f t="shared" si="1"/>
        <v>63074</v>
      </c>
      <c r="G12" s="171">
        <f t="shared" si="1"/>
        <v>69745.960000000006</v>
      </c>
      <c r="H12" s="170">
        <f t="shared" si="1"/>
        <v>45312.86</v>
      </c>
      <c r="I12" s="959">
        <f t="shared" si="1"/>
        <v>73544</v>
      </c>
      <c r="J12" s="180">
        <f>I12/F12*100</f>
        <v>116.59954973523163</v>
      </c>
      <c r="K12" s="173">
        <f>I12/G12*100</f>
        <v>105.44553404957075</v>
      </c>
      <c r="L12" s="68"/>
    </row>
    <row r="13" spans="1:12" ht="15" customHeight="1" x14ac:dyDescent="0.3">
      <c r="A13" s="65"/>
      <c r="B13" s="20"/>
      <c r="C13" s="20"/>
      <c r="D13" s="21"/>
      <c r="E13" s="22"/>
      <c r="F13" s="21"/>
      <c r="G13" s="23"/>
      <c r="H13" s="23"/>
      <c r="I13" s="23"/>
      <c r="J13" s="24"/>
      <c r="K13" s="25"/>
    </row>
    <row r="14" spans="1:12" x14ac:dyDescent="0.3">
      <c r="D14" s="3"/>
      <c r="F14" s="3"/>
      <c r="I14" s="3"/>
      <c r="J14" s="974"/>
    </row>
    <row r="15" spans="1:12" x14ac:dyDescent="0.3">
      <c r="D15" s="3"/>
      <c r="F15" s="3"/>
      <c r="I15" s="3"/>
    </row>
  </sheetData>
  <mergeCells count="11">
    <mergeCell ref="A10:A11"/>
    <mergeCell ref="B6:C7"/>
    <mergeCell ref="A2:K2"/>
    <mergeCell ref="A6:A7"/>
    <mergeCell ref="D6:E6"/>
    <mergeCell ref="F6:H6"/>
    <mergeCell ref="J6:J7"/>
    <mergeCell ref="K6:K7"/>
    <mergeCell ref="B9:C9"/>
    <mergeCell ref="B10:C10"/>
    <mergeCell ref="I6:I7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R26"/>
  <sheetViews>
    <sheetView workbookViewId="0">
      <selection activeCell="C1" sqref="C1"/>
    </sheetView>
  </sheetViews>
  <sheetFormatPr defaultColWidth="9.109375" defaultRowHeight="13.8" x14ac:dyDescent="0.25"/>
  <cols>
    <col min="1" max="1" width="7.6640625" style="66" customWidth="1"/>
    <col min="2" max="2" width="6.6640625" style="66" customWidth="1"/>
    <col min="3" max="3" width="40.6640625" style="66" customWidth="1"/>
    <col min="4" max="4" width="15.33203125" style="71" customWidth="1"/>
    <col min="5" max="5" width="15.33203125" style="138" customWidth="1"/>
    <col min="6" max="6" width="15.33203125" style="71" customWidth="1"/>
    <col min="7" max="7" width="15.33203125" style="138" customWidth="1"/>
    <col min="8" max="8" width="14.6640625" style="138" customWidth="1"/>
    <col min="9" max="9" width="15.33203125" style="584" customWidth="1"/>
    <col min="10" max="11" width="9.6640625" style="139" customWidth="1"/>
    <col min="12" max="16384" width="9.109375" style="66"/>
  </cols>
  <sheetData>
    <row r="1" spans="1:18" ht="14.4" x14ac:dyDescent="0.25">
      <c r="C1" s="66" t="s">
        <v>574</v>
      </c>
      <c r="K1" s="140"/>
    </row>
    <row r="2" spans="1:18" ht="20.25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</row>
    <row r="3" spans="1:18" ht="15" customHeight="1" x14ac:dyDescent="0.25"/>
    <row r="4" spans="1:18" ht="20.100000000000001" customHeight="1" x14ac:dyDescent="0.25">
      <c r="A4" s="67" t="s">
        <v>204</v>
      </c>
      <c r="I4" s="138"/>
      <c r="J4" s="141"/>
    </row>
    <row r="5" spans="1:18" ht="15" customHeight="1" thickBot="1" x14ac:dyDescent="0.3">
      <c r="A5" s="67"/>
      <c r="K5" s="141" t="s">
        <v>0</v>
      </c>
    </row>
    <row r="6" spans="1:18" s="142" customFormat="1" ht="15.9" customHeight="1" x14ac:dyDescent="0.25">
      <c r="A6" s="1159" t="s">
        <v>85</v>
      </c>
      <c r="B6" s="1165" t="s">
        <v>97</v>
      </c>
      <c r="C6" s="1166"/>
      <c r="D6" s="1060" t="s">
        <v>402</v>
      </c>
      <c r="E6" s="1061"/>
      <c r="F6" s="1060" t="s">
        <v>450</v>
      </c>
      <c r="G6" s="1064"/>
      <c r="H6" s="1061"/>
      <c r="I6" s="1169" t="s">
        <v>507</v>
      </c>
      <c r="J6" s="1161" t="s">
        <v>508</v>
      </c>
      <c r="K6" s="1163" t="s">
        <v>509</v>
      </c>
    </row>
    <row r="7" spans="1:18" s="142" customFormat="1" ht="30.9" customHeight="1" thickBot="1" x14ac:dyDescent="0.3">
      <c r="A7" s="1160"/>
      <c r="B7" s="1167"/>
      <c r="C7" s="1168"/>
      <c r="D7" s="236" t="s">
        <v>103</v>
      </c>
      <c r="E7" s="835" t="s">
        <v>520</v>
      </c>
      <c r="F7" s="236" t="s">
        <v>103</v>
      </c>
      <c r="G7" s="237" t="s">
        <v>556</v>
      </c>
      <c r="H7" s="238" t="s">
        <v>555</v>
      </c>
      <c r="I7" s="1170"/>
      <c r="J7" s="1162"/>
      <c r="K7" s="1164"/>
    </row>
    <row r="8" spans="1:18" s="68" customFormat="1" ht="20.100000000000001" customHeight="1" thickBot="1" x14ac:dyDescent="0.3">
      <c r="B8" s="143" t="s">
        <v>98</v>
      </c>
      <c r="C8" s="143"/>
      <c r="D8" s="144"/>
      <c r="E8" s="145"/>
      <c r="F8" s="144"/>
      <c r="G8" s="146"/>
      <c r="H8" s="146"/>
      <c r="I8" s="731"/>
      <c r="J8" s="148"/>
      <c r="K8" s="148"/>
    </row>
    <row r="9" spans="1:18" s="69" customFormat="1" ht="20.100000000000001" customHeight="1" x14ac:dyDescent="0.25">
      <c r="A9" s="696">
        <v>2212</v>
      </c>
      <c r="B9" s="1186" t="s">
        <v>105</v>
      </c>
      <c r="C9" s="1187"/>
      <c r="D9" s="412">
        <v>10050</v>
      </c>
      <c r="E9" s="378">
        <v>3627.9</v>
      </c>
      <c r="F9" s="412">
        <v>11720</v>
      </c>
      <c r="G9" s="411">
        <v>13614.5</v>
      </c>
      <c r="H9" s="437">
        <v>3010.23</v>
      </c>
      <c r="I9" s="955">
        <v>11370</v>
      </c>
      <c r="J9" s="382">
        <f t="shared" ref="J9:J15" si="0">I9/F9*100</f>
        <v>97.013651877133114</v>
      </c>
      <c r="K9" s="383">
        <f t="shared" ref="K9:K15" si="1">I9/G9*100</f>
        <v>83.513900620661801</v>
      </c>
      <c r="L9" s="385"/>
      <c r="M9" s="385"/>
      <c r="N9" s="385"/>
      <c r="O9" s="385"/>
      <c r="P9" s="385"/>
      <c r="Q9" s="385"/>
      <c r="R9" s="385"/>
    </row>
    <row r="10" spans="1:18" s="410" customFormat="1" ht="45.9" customHeight="1" x14ac:dyDescent="0.25">
      <c r="A10" s="1184">
        <v>2212</v>
      </c>
      <c r="B10" s="1188" t="s">
        <v>205</v>
      </c>
      <c r="C10" s="1192"/>
      <c r="D10" s="450">
        <f t="shared" ref="D10:I10" si="2">SUM(D11:D18)</f>
        <v>2830757</v>
      </c>
      <c r="E10" s="396">
        <f t="shared" si="2"/>
        <v>3366539.2</v>
      </c>
      <c r="F10" s="438">
        <f t="shared" si="2"/>
        <v>2896257</v>
      </c>
      <c r="G10" s="445">
        <f t="shared" si="2"/>
        <v>3121915.88</v>
      </c>
      <c r="H10" s="396">
        <f t="shared" si="2"/>
        <v>2680256.9500000002</v>
      </c>
      <c r="I10" s="956">
        <f t="shared" si="2"/>
        <v>2911836</v>
      </c>
      <c r="J10" s="400">
        <f t="shared" si="0"/>
        <v>100.53790116001447</v>
      </c>
      <c r="K10" s="401">
        <f t="shared" si="1"/>
        <v>93.270802671339112</v>
      </c>
    </row>
    <row r="11" spans="1:18" ht="15" customHeight="1" x14ac:dyDescent="0.25">
      <c r="A11" s="1185"/>
      <c r="B11" s="1193" t="s">
        <v>92</v>
      </c>
      <c r="C11" s="498" t="s">
        <v>124</v>
      </c>
      <c r="D11" s="82">
        <v>130940</v>
      </c>
      <c r="E11" s="88">
        <v>130940</v>
      </c>
      <c r="F11" s="943">
        <v>135940</v>
      </c>
      <c r="G11" s="664">
        <v>135940</v>
      </c>
      <c r="H11" s="309">
        <v>101955</v>
      </c>
      <c r="I11" s="957">
        <v>135940</v>
      </c>
      <c r="J11" s="77">
        <f>I11/F11*100</f>
        <v>100</v>
      </c>
      <c r="K11" s="78">
        <f>I11/G11*100</f>
        <v>100</v>
      </c>
    </row>
    <row r="12" spans="1:18" ht="15" customHeight="1" x14ac:dyDescent="0.25">
      <c r="A12" s="1185"/>
      <c r="B12" s="1194"/>
      <c r="C12" s="498" t="s">
        <v>346</v>
      </c>
      <c r="D12" s="82">
        <v>154837</v>
      </c>
      <c r="E12" s="96">
        <v>154837</v>
      </c>
      <c r="F12" s="82">
        <v>158337</v>
      </c>
      <c r="G12" s="316">
        <v>168995.88</v>
      </c>
      <c r="H12" s="118">
        <v>122837</v>
      </c>
      <c r="I12" s="957">
        <f>165018+8898</f>
        <v>173916</v>
      </c>
      <c r="J12" s="77">
        <f>I12/F12*100</f>
        <v>109.83914056727106</v>
      </c>
      <c r="K12" s="78">
        <f>I12/G12*100</f>
        <v>102.91138458523368</v>
      </c>
    </row>
    <row r="13" spans="1:18" ht="15" customHeight="1" x14ac:dyDescent="0.25">
      <c r="A13" s="1185"/>
      <c r="B13" s="1194"/>
      <c r="C13" s="498" t="s">
        <v>125</v>
      </c>
      <c r="D13" s="82">
        <v>1528630</v>
      </c>
      <c r="E13" s="96">
        <v>2064412.2</v>
      </c>
      <c r="F13" s="82">
        <v>1405630</v>
      </c>
      <c r="G13" s="316">
        <v>1620630</v>
      </c>
      <c r="H13" s="118">
        <v>1289182.45</v>
      </c>
      <c r="I13" s="957">
        <v>1405630</v>
      </c>
      <c r="J13" s="77">
        <f>I13/F13*100</f>
        <v>100</v>
      </c>
      <c r="K13" s="78">
        <f>I13/G13*100</f>
        <v>86.733554235081428</v>
      </c>
    </row>
    <row r="14" spans="1:18" ht="15" customHeight="1" x14ac:dyDescent="0.25">
      <c r="A14" s="1185"/>
      <c r="B14" s="1194"/>
      <c r="C14" s="565" t="s">
        <v>378</v>
      </c>
      <c r="D14" s="82">
        <v>4350</v>
      </c>
      <c r="E14" s="81">
        <v>4350</v>
      </c>
      <c r="F14" s="82">
        <v>4350</v>
      </c>
      <c r="G14" s="356">
        <v>4350</v>
      </c>
      <c r="H14" s="94">
        <v>3262.5</v>
      </c>
      <c r="I14" s="957">
        <v>4350</v>
      </c>
      <c r="J14" s="77">
        <f t="shared" si="0"/>
        <v>100</v>
      </c>
      <c r="K14" s="78">
        <f t="shared" si="1"/>
        <v>100</v>
      </c>
    </row>
    <row r="15" spans="1:18" s="100" customFormat="1" ht="15.75" customHeight="1" x14ac:dyDescent="0.25">
      <c r="A15" s="1185"/>
      <c r="B15" s="1194"/>
      <c r="C15" s="498" t="s">
        <v>332</v>
      </c>
      <c r="D15" s="82">
        <v>1000000</v>
      </c>
      <c r="E15" s="96">
        <v>1000000</v>
      </c>
      <c r="F15" s="82">
        <v>1000000</v>
      </c>
      <c r="G15" s="316">
        <v>1000000</v>
      </c>
      <c r="H15" s="118">
        <v>1000000</v>
      </c>
      <c r="I15" s="957">
        <v>1000000</v>
      </c>
      <c r="J15" s="77">
        <f t="shared" si="0"/>
        <v>100</v>
      </c>
      <c r="K15" s="78">
        <f t="shared" si="1"/>
        <v>100</v>
      </c>
      <c r="L15" s="155"/>
    </row>
    <row r="16" spans="1:18" s="100" customFormat="1" ht="27.75" customHeight="1" x14ac:dyDescent="0.25">
      <c r="A16" s="1185"/>
      <c r="B16" s="1194"/>
      <c r="C16" s="498" t="s">
        <v>283</v>
      </c>
      <c r="D16" s="82">
        <v>12000</v>
      </c>
      <c r="E16" s="96">
        <v>12000</v>
      </c>
      <c r="F16" s="82">
        <v>12000</v>
      </c>
      <c r="G16" s="316">
        <v>12000</v>
      </c>
      <c r="H16" s="118">
        <v>12000</v>
      </c>
      <c r="I16" s="957">
        <v>12000</v>
      </c>
      <c r="J16" s="77">
        <f>I16/F16*100</f>
        <v>100</v>
      </c>
      <c r="K16" s="78">
        <f>I16/G16*100</f>
        <v>100</v>
      </c>
      <c r="L16" s="155"/>
    </row>
    <row r="17" spans="1:12" s="100" customFormat="1" ht="15.75" customHeight="1" x14ac:dyDescent="0.25">
      <c r="A17" s="1185"/>
      <c r="B17" s="1194"/>
      <c r="C17" s="572" t="s">
        <v>495</v>
      </c>
      <c r="D17" s="82" t="s">
        <v>322</v>
      </c>
      <c r="E17" s="749">
        <v>0</v>
      </c>
      <c r="F17" s="82">
        <v>30000</v>
      </c>
      <c r="G17" s="356">
        <v>30000</v>
      </c>
      <c r="H17" s="119">
        <v>24000</v>
      </c>
      <c r="I17" s="957">
        <v>30000</v>
      </c>
      <c r="J17" s="77">
        <f>I17/F17*100</f>
        <v>100</v>
      </c>
      <c r="K17" s="78">
        <f>I17/G17*100</f>
        <v>100</v>
      </c>
      <c r="L17" s="155"/>
    </row>
    <row r="18" spans="1:12" s="100" customFormat="1" ht="15.75" customHeight="1" x14ac:dyDescent="0.25">
      <c r="A18" s="1185"/>
      <c r="B18" s="1194"/>
      <c r="C18" s="572" t="s">
        <v>496</v>
      </c>
      <c r="D18" s="82" t="s">
        <v>322</v>
      </c>
      <c r="E18" s="749">
        <v>0</v>
      </c>
      <c r="F18" s="82">
        <v>150000</v>
      </c>
      <c r="G18" s="356">
        <v>150000</v>
      </c>
      <c r="H18" s="119">
        <v>127020</v>
      </c>
      <c r="I18" s="957">
        <v>150000</v>
      </c>
      <c r="J18" s="77">
        <f t="shared" ref="J18" si="3">I18/F18*100</f>
        <v>100</v>
      </c>
      <c r="K18" s="78">
        <f t="shared" ref="K18" si="4">I18/G18*100</f>
        <v>100</v>
      </c>
      <c r="L18" s="155"/>
    </row>
    <row r="19" spans="1:12" s="69" customFormat="1" ht="20.100000000000001" customHeight="1" x14ac:dyDescent="0.25">
      <c r="A19" s="434">
        <v>2222</v>
      </c>
      <c r="B19" s="1195" t="s">
        <v>462</v>
      </c>
      <c r="C19" s="1196"/>
      <c r="D19" s="450">
        <v>0</v>
      </c>
      <c r="E19" s="439">
        <v>0</v>
      </c>
      <c r="F19" s="450">
        <v>300</v>
      </c>
      <c r="G19" s="665">
        <v>500</v>
      </c>
      <c r="H19" s="441">
        <v>184.15</v>
      </c>
      <c r="I19" s="956">
        <v>300</v>
      </c>
      <c r="J19" s="400">
        <f>I19/F19*100</f>
        <v>100</v>
      </c>
      <c r="K19" s="401">
        <f t="shared" ref="K19:K23" si="5">I19/G19*100</f>
        <v>60</v>
      </c>
    </row>
    <row r="20" spans="1:12" s="69" customFormat="1" ht="20.100000000000001" customHeight="1" x14ac:dyDescent="0.25">
      <c r="A20" s="434">
        <v>2223</v>
      </c>
      <c r="B20" s="1195" t="s">
        <v>178</v>
      </c>
      <c r="C20" s="1196"/>
      <c r="D20" s="450">
        <v>5415</v>
      </c>
      <c r="E20" s="439">
        <v>3379.42</v>
      </c>
      <c r="F20" s="450">
        <v>3845</v>
      </c>
      <c r="G20" s="665">
        <v>6994.99</v>
      </c>
      <c r="H20" s="441">
        <v>2036.55</v>
      </c>
      <c r="I20" s="956">
        <v>4195</v>
      </c>
      <c r="J20" s="400">
        <f>I20/F20*100</f>
        <v>109.10273081924578</v>
      </c>
      <c r="K20" s="401">
        <f t="shared" si="5"/>
        <v>59.971493883479468</v>
      </c>
    </row>
    <row r="21" spans="1:12" s="410" customFormat="1" ht="20.100000000000001" customHeight="1" x14ac:dyDescent="0.25">
      <c r="A21" s="434">
        <v>2299</v>
      </c>
      <c r="B21" s="1188" t="s">
        <v>106</v>
      </c>
      <c r="C21" s="1189"/>
      <c r="D21" s="450">
        <v>700</v>
      </c>
      <c r="E21" s="396">
        <v>1081.1400000000001</v>
      </c>
      <c r="F21" s="450">
        <v>200</v>
      </c>
      <c r="G21" s="665">
        <v>1705.5</v>
      </c>
      <c r="H21" s="441">
        <v>4.91</v>
      </c>
      <c r="I21" s="956">
        <v>200</v>
      </c>
      <c r="J21" s="400">
        <f>I21/F21*100</f>
        <v>100</v>
      </c>
      <c r="K21" s="401">
        <f t="shared" si="5"/>
        <v>11.726766344180591</v>
      </c>
    </row>
    <row r="22" spans="1:12" s="410" customFormat="1" ht="20.100000000000001" customHeight="1" thickBot="1" x14ac:dyDescent="0.3">
      <c r="A22" s="435">
        <v>6172</v>
      </c>
      <c r="B22" s="1190" t="s">
        <v>99</v>
      </c>
      <c r="C22" s="1191"/>
      <c r="D22" s="663">
        <v>400</v>
      </c>
      <c r="E22" s="444">
        <v>281.54000000000002</v>
      </c>
      <c r="F22" s="663">
        <v>500</v>
      </c>
      <c r="G22" s="665">
        <v>669.85</v>
      </c>
      <c r="H22" s="443">
        <v>314.22000000000003</v>
      </c>
      <c r="I22" s="956">
        <v>500</v>
      </c>
      <c r="J22" s="400">
        <f>I22/F22*100</f>
        <v>100</v>
      </c>
      <c r="K22" s="401">
        <f t="shared" si="5"/>
        <v>74.643576920206016</v>
      </c>
    </row>
    <row r="23" spans="1:12" ht="20.100000000000001" customHeight="1" thickBot="1" x14ac:dyDescent="0.3">
      <c r="A23" s="174"/>
      <c r="B23" s="1151" t="s">
        <v>82</v>
      </c>
      <c r="C23" s="1152"/>
      <c r="D23" s="169">
        <f t="shared" ref="D23:I23" si="6">+D9+D10+SUM(D19:D22)</f>
        <v>2847322</v>
      </c>
      <c r="E23" s="170">
        <f t="shared" si="6"/>
        <v>3374909.2</v>
      </c>
      <c r="F23" s="169">
        <f t="shared" si="6"/>
        <v>2912822</v>
      </c>
      <c r="G23" s="171">
        <f t="shared" si="6"/>
        <v>3145400.7199999997</v>
      </c>
      <c r="H23" s="170">
        <f t="shared" si="6"/>
        <v>2685807.0100000002</v>
      </c>
      <c r="I23" s="959">
        <f t="shared" si="6"/>
        <v>2928401</v>
      </c>
      <c r="J23" s="172">
        <f>I23/F23*100</f>
        <v>100.53484215650666</v>
      </c>
      <c r="K23" s="173">
        <f t="shared" si="5"/>
        <v>93.101046915256006</v>
      </c>
    </row>
    <row r="24" spans="1:12" ht="15" customHeight="1" x14ac:dyDescent="0.25">
      <c r="A24" s="69"/>
      <c r="B24" s="69"/>
      <c r="C24" s="69"/>
      <c r="D24" s="155"/>
      <c r="E24" s="162"/>
      <c r="F24" s="155"/>
      <c r="G24" s="163"/>
      <c r="H24" s="163"/>
      <c r="I24" s="586"/>
      <c r="J24" s="151"/>
      <c r="K24" s="117"/>
    </row>
    <row r="25" spans="1:12" x14ac:dyDescent="0.25">
      <c r="D25" s="138"/>
      <c r="F25" s="138"/>
      <c r="I25" s="138"/>
      <c r="K25" s="66"/>
    </row>
    <row r="26" spans="1:12" x14ac:dyDescent="0.25">
      <c r="D26" s="138"/>
      <c r="F26" s="138"/>
      <c r="I26" s="138"/>
      <c r="J26" s="888"/>
      <c r="K26" s="66"/>
    </row>
  </sheetData>
  <mergeCells count="17">
    <mergeCell ref="B21:C21"/>
    <mergeCell ref="B22:C22"/>
    <mergeCell ref="B23:C23"/>
    <mergeCell ref="B10:C10"/>
    <mergeCell ref="B11:B18"/>
    <mergeCell ref="B20:C20"/>
    <mergeCell ref="B19:C19"/>
    <mergeCell ref="A10:A18"/>
    <mergeCell ref="B9:C9"/>
    <mergeCell ref="I6:I7"/>
    <mergeCell ref="A2:K2"/>
    <mergeCell ref="J6:J7"/>
    <mergeCell ref="K6:K7"/>
    <mergeCell ref="A6:A7"/>
    <mergeCell ref="D6:E6"/>
    <mergeCell ref="F6:H6"/>
    <mergeCell ref="B6:C7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55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R125"/>
  <sheetViews>
    <sheetView zoomScaleNormal="100" workbookViewId="0">
      <selection activeCell="C1" sqref="C1"/>
    </sheetView>
  </sheetViews>
  <sheetFormatPr defaultColWidth="9.109375" defaultRowHeight="13.8" x14ac:dyDescent="0.25"/>
  <cols>
    <col min="1" max="1" width="7.6640625" style="310" customWidth="1"/>
    <col min="2" max="2" width="6.6640625" style="66" customWidth="1"/>
    <col min="3" max="3" width="40.6640625" style="66" customWidth="1"/>
    <col min="4" max="4" width="14.6640625" style="71" customWidth="1"/>
    <col min="5" max="5" width="14.6640625" style="138" customWidth="1"/>
    <col min="6" max="6" width="14.6640625" style="71" customWidth="1"/>
    <col min="7" max="7" width="16.6640625" style="138" customWidth="1"/>
    <col min="8" max="8" width="14.6640625" style="138" customWidth="1"/>
    <col min="9" max="9" width="14.6640625" style="584" customWidth="1"/>
    <col min="10" max="11" width="9.6640625" style="139" customWidth="1"/>
    <col min="12" max="16384" width="9.109375" style="66"/>
  </cols>
  <sheetData>
    <row r="1" spans="1:18" ht="15" customHeight="1" x14ac:dyDescent="0.25">
      <c r="C1" s="66" t="s">
        <v>574</v>
      </c>
      <c r="K1" s="140"/>
    </row>
    <row r="2" spans="1:18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</row>
    <row r="3" spans="1:18" ht="15" customHeight="1" x14ac:dyDescent="0.25"/>
    <row r="4" spans="1:18" ht="20.100000000000001" customHeight="1" x14ac:dyDescent="0.25">
      <c r="A4" s="335" t="s">
        <v>114</v>
      </c>
      <c r="J4" s="302"/>
    </row>
    <row r="5" spans="1:18" ht="15" customHeight="1" thickBot="1" x14ac:dyDescent="0.3">
      <c r="A5" s="336"/>
      <c r="D5" s="337"/>
      <c r="H5" s="338"/>
      <c r="K5" s="302" t="s">
        <v>0</v>
      </c>
    </row>
    <row r="6" spans="1:18" s="142" customFormat="1" ht="15.9" customHeight="1" x14ac:dyDescent="0.25">
      <c r="A6" s="1159" t="s">
        <v>85</v>
      </c>
      <c r="B6" s="1165" t="s">
        <v>97</v>
      </c>
      <c r="C6" s="1166"/>
      <c r="D6" s="1060" t="s">
        <v>402</v>
      </c>
      <c r="E6" s="1061"/>
      <c r="F6" s="1060" t="s">
        <v>450</v>
      </c>
      <c r="G6" s="1064"/>
      <c r="H6" s="1061"/>
      <c r="I6" s="1169" t="s">
        <v>507</v>
      </c>
      <c r="J6" s="1161" t="s">
        <v>508</v>
      </c>
      <c r="K6" s="1163" t="s">
        <v>509</v>
      </c>
    </row>
    <row r="7" spans="1:18" s="142" customFormat="1" ht="30.9" customHeight="1" thickBot="1" x14ac:dyDescent="0.3">
      <c r="A7" s="1160"/>
      <c r="B7" s="1167"/>
      <c r="C7" s="1168"/>
      <c r="D7" s="236" t="s">
        <v>103</v>
      </c>
      <c r="E7" s="835" t="s">
        <v>520</v>
      </c>
      <c r="F7" s="236" t="s">
        <v>103</v>
      </c>
      <c r="G7" s="237" t="s">
        <v>556</v>
      </c>
      <c r="H7" s="238" t="s">
        <v>555</v>
      </c>
      <c r="I7" s="1170"/>
      <c r="J7" s="1162"/>
      <c r="K7" s="1164"/>
    </row>
    <row r="8" spans="1:18" s="68" customFormat="1" ht="20.100000000000001" customHeight="1" thickBot="1" x14ac:dyDescent="0.3">
      <c r="A8" s="339"/>
      <c r="B8" s="340" t="s">
        <v>98</v>
      </c>
      <c r="C8" s="303"/>
      <c r="D8" s="304"/>
      <c r="E8" s="305"/>
      <c r="F8" s="304"/>
      <c r="G8" s="146"/>
      <c r="H8" s="146"/>
      <c r="I8" s="731"/>
      <c r="J8" s="148"/>
      <c r="K8" s="148"/>
    </row>
    <row r="9" spans="1:18" s="69" customFormat="1" ht="29.25" customHeight="1" x14ac:dyDescent="0.25">
      <c r="A9" s="1207" t="s">
        <v>390</v>
      </c>
      <c r="B9" s="1208"/>
      <c r="C9" s="1156"/>
      <c r="D9" s="379">
        <f t="shared" ref="D9" si="0">SUM(D10:D21)</f>
        <v>456100</v>
      </c>
      <c r="E9" s="378">
        <f>SUM(E10:E21)</f>
        <v>439424.60999999987</v>
      </c>
      <c r="F9" s="379">
        <v>500314</v>
      </c>
      <c r="G9" s="380">
        <f t="shared" ref="G9:H9" si="1">SUM(G10:G21)</f>
        <v>497997.13999999996</v>
      </c>
      <c r="H9" s="381">
        <f t="shared" si="1"/>
        <v>352915.83</v>
      </c>
      <c r="I9" s="955">
        <f>SUM(I10:I21)</f>
        <v>616450</v>
      </c>
      <c r="J9" s="533">
        <f t="shared" ref="J9:J21" si="2">I9/F9*100</f>
        <v>123.21262247308691</v>
      </c>
      <c r="K9" s="534">
        <f t="shared" ref="K9:K21" si="3">I9/G9*100</f>
        <v>123.78585146091403</v>
      </c>
      <c r="L9" s="384"/>
      <c r="M9" s="384"/>
      <c r="N9" s="385"/>
      <c r="O9" s="385"/>
      <c r="P9" s="385"/>
      <c r="Q9" s="385"/>
    </row>
    <row r="10" spans="1:18" ht="30" customHeight="1" x14ac:dyDescent="0.25">
      <c r="A10" s="507">
        <v>3112</v>
      </c>
      <c r="B10" s="1197" t="s">
        <v>115</v>
      </c>
      <c r="C10" s="1198"/>
      <c r="D10" s="357">
        <v>1652</v>
      </c>
      <c r="E10" s="115">
        <v>1652</v>
      </c>
      <c r="F10" s="357">
        <v>1817</v>
      </c>
      <c r="G10" s="375">
        <v>1651.92</v>
      </c>
      <c r="H10" s="756">
        <v>1376.8</v>
      </c>
      <c r="I10" s="1019">
        <v>2163</v>
      </c>
      <c r="J10" s="535">
        <f t="shared" si="2"/>
        <v>119.04237754540452</v>
      </c>
      <c r="K10" s="536">
        <f t="shared" si="3"/>
        <v>130.93854423943048</v>
      </c>
      <c r="L10" s="84"/>
      <c r="M10" s="84"/>
      <c r="N10" s="85"/>
      <c r="O10" s="85"/>
      <c r="P10" s="85"/>
      <c r="Q10" s="85"/>
    </row>
    <row r="11" spans="1:18" ht="30" customHeight="1" x14ac:dyDescent="0.25">
      <c r="A11" s="507">
        <v>3114</v>
      </c>
      <c r="B11" s="1197" t="s">
        <v>116</v>
      </c>
      <c r="C11" s="1198"/>
      <c r="D11" s="357">
        <v>35837</v>
      </c>
      <c r="E11" s="115">
        <v>37303.46</v>
      </c>
      <c r="F11" s="357">
        <v>39420</v>
      </c>
      <c r="G11" s="375">
        <v>36805.69</v>
      </c>
      <c r="H11" s="756">
        <v>30403.599999999999</v>
      </c>
      <c r="I11" s="1019">
        <v>48824</v>
      </c>
      <c r="J11" s="535">
        <f t="shared" si="2"/>
        <v>123.85591070522577</v>
      </c>
      <c r="K11" s="536">
        <f t="shared" si="3"/>
        <v>132.65340223210052</v>
      </c>
      <c r="L11" s="84"/>
      <c r="M11" s="84"/>
      <c r="N11" s="85"/>
      <c r="O11" s="85"/>
      <c r="P11" s="85"/>
      <c r="Q11" s="85"/>
      <c r="R11" s="85"/>
    </row>
    <row r="12" spans="1:18" ht="20.100000000000001" customHeight="1" x14ac:dyDescent="0.25">
      <c r="A12" s="507">
        <v>3121</v>
      </c>
      <c r="B12" s="1197" t="s">
        <v>107</v>
      </c>
      <c r="C12" s="1198"/>
      <c r="D12" s="357">
        <v>67468</v>
      </c>
      <c r="E12" s="115">
        <v>68614.06</v>
      </c>
      <c r="F12" s="357">
        <v>74214</v>
      </c>
      <c r="G12" s="375">
        <v>73305.960000000006</v>
      </c>
      <c r="H12" s="756">
        <v>58966.58</v>
      </c>
      <c r="I12" s="1019">
        <v>95328</v>
      </c>
      <c r="J12" s="535">
        <f t="shared" si="2"/>
        <v>128.450157652195</v>
      </c>
      <c r="K12" s="536">
        <f t="shared" si="3"/>
        <v>130.04126813154073</v>
      </c>
      <c r="L12" s="84"/>
      <c r="M12" s="84"/>
      <c r="N12" s="85"/>
      <c r="O12" s="85"/>
      <c r="P12" s="85"/>
      <c r="Q12" s="85"/>
      <c r="R12" s="85"/>
    </row>
    <row r="13" spans="1:18" ht="20.100000000000001" customHeight="1" x14ac:dyDescent="0.25">
      <c r="A13" s="507">
        <v>3122</v>
      </c>
      <c r="B13" s="1197" t="s">
        <v>108</v>
      </c>
      <c r="C13" s="1198"/>
      <c r="D13" s="357">
        <v>107695</v>
      </c>
      <c r="E13" s="115">
        <v>120296.78</v>
      </c>
      <c r="F13" s="357">
        <v>123394</v>
      </c>
      <c r="G13" s="375">
        <v>121357.21</v>
      </c>
      <c r="H13" s="756">
        <v>99404.13</v>
      </c>
      <c r="I13" s="1019">
        <v>166759</v>
      </c>
      <c r="J13" s="535">
        <f t="shared" si="2"/>
        <v>135.14352399630451</v>
      </c>
      <c r="K13" s="536">
        <f t="shared" si="3"/>
        <v>137.4116956050654</v>
      </c>
      <c r="L13" s="84"/>
      <c r="M13" s="84"/>
      <c r="N13" s="85"/>
      <c r="O13" s="85"/>
      <c r="P13" s="85"/>
      <c r="Q13" s="85"/>
      <c r="R13" s="85"/>
    </row>
    <row r="14" spans="1:18" ht="30" customHeight="1" x14ac:dyDescent="0.25">
      <c r="A14" s="507">
        <v>3123</v>
      </c>
      <c r="B14" s="1197" t="s">
        <v>117</v>
      </c>
      <c r="C14" s="1198"/>
      <c r="D14" s="357">
        <v>135265</v>
      </c>
      <c r="E14" s="115">
        <v>136617.04</v>
      </c>
      <c r="F14" s="357">
        <v>143861</v>
      </c>
      <c r="G14" s="684">
        <v>129698.57</v>
      </c>
      <c r="H14" s="756">
        <v>108009.9</v>
      </c>
      <c r="I14" s="1019">
        <v>176019</v>
      </c>
      <c r="J14" s="535">
        <f t="shared" si="2"/>
        <v>122.35352180229526</v>
      </c>
      <c r="K14" s="536">
        <f t="shared" si="3"/>
        <v>135.71390956739154</v>
      </c>
      <c r="L14" s="84"/>
      <c r="M14" s="84"/>
      <c r="N14" s="85"/>
      <c r="O14" s="85"/>
      <c r="P14" s="85"/>
      <c r="Q14" s="85"/>
      <c r="R14" s="85"/>
    </row>
    <row r="15" spans="1:18" ht="30" customHeight="1" x14ac:dyDescent="0.25">
      <c r="A15" s="507">
        <v>3125</v>
      </c>
      <c r="B15" s="1197" t="s">
        <v>234</v>
      </c>
      <c r="C15" s="1198"/>
      <c r="D15" s="357">
        <v>13154</v>
      </c>
      <c r="E15" s="115">
        <v>28059.72</v>
      </c>
      <c r="F15" s="357">
        <v>14508</v>
      </c>
      <c r="G15" s="684">
        <v>12404</v>
      </c>
      <c r="H15" s="756">
        <v>10336.700000000001</v>
      </c>
      <c r="I15" s="1019">
        <v>14586</v>
      </c>
      <c r="J15" s="535">
        <f t="shared" si="2"/>
        <v>100.53763440860214</v>
      </c>
      <c r="K15" s="536">
        <f t="shared" si="3"/>
        <v>117.59109964527572</v>
      </c>
      <c r="L15" s="84"/>
      <c r="M15" s="84"/>
      <c r="N15" s="85"/>
      <c r="O15" s="85"/>
      <c r="P15" s="85"/>
      <c r="Q15" s="85"/>
      <c r="R15" s="85"/>
    </row>
    <row r="16" spans="1:18" ht="20.100000000000001" customHeight="1" x14ac:dyDescent="0.25">
      <c r="A16" s="507">
        <v>3133</v>
      </c>
      <c r="B16" s="1197" t="s">
        <v>109</v>
      </c>
      <c r="C16" s="1198"/>
      <c r="D16" s="357">
        <v>31763</v>
      </c>
      <c r="E16" s="115">
        <v>33239.47</v>
      </c>
      <c r="F16" s="357">
        <v>34939</v>
      </c>
      <c r="G16" s="684">
        <v>32797.660000000003</v>
      </c>
      <c r="H16" s="756">
        <v>27246.2</v>
      </c>
      <c r="I16" s="1019">
        <v>39306</v>
      </c>
      <c r="J16" s="535">
        <f t="shared" si="2"/>
        <v>112.49892670082143</v>
      </c>
      <c r="K16" s="536">
        <f t="shared" si="3"/>
        <v>119.84391569398547</v>
      </c>
      <c r="L16" s="84"/>
      <c r="M16" s="84"/>
      <c r="N16" s="85"/>
      <c r="O16" s="85"/>
      <c r="P16" s="85"/>
      <c r="Q16" s="85"/>
      <c r="R16" s="85"/>
    </row>
    <row r="17" spans="1:18" ht="20.100000000000001" customHeight="1" x14ac:dyDescent="0.25">
      <c r="A17" s="507">
        <v>3146</v>
      </c>
      <c r="B17" s="1197" t="s">
        <v>118</v>
      </c>
      <c r="C17" s="1198"/>
      <c r="D17" s="357">
        <v>5001</v>
      </c>
      <c r="E17" s="115">
        <v>5611</v>
      </c>
      <c r="F17" s="357">
        <v>6400</v>
      </c>
      <c r="G17" s="684">
        <v>5441</v>
      </c>
      <c r="H17" s="756">
        <v>4387.5</v>
      </c>
      <c r="I17" s="1019">
        <v>6558</v>
      </c>
      <c r="J17" s="535">
        <f t="shared" si="2"/>
        <v>102.46875</v>
      </c>
      <c r="K17" s="536">
        <f t="shared" si="3"/>
        <v>120.52931446425291</v>
      </c>
      <c r="L17" s="84"/>
      <c r="M17" s="84"/>
      <c r="N17" s="85"/>
      <c r="O17" s="85"/>
      <c r="P17" s="85"/>
      <c r="Q17" s="85"/>
      <c r="R17" s="85"/>
    </row>
    <row r="18" spans="1:18" ht="20.100000000000001" customHeight="1" x14ac:dyDescent="0.25">
      <c r="A18" s="507">
        <v>3231</v>
      </c>
      <c r="B18" s="1197" t="s">
        <v>119</v>
      </c>
      <c r="C18" s="1198"/>
      <c r="D18" s="357">
        <v>2235</v>
      </c>
      <c r="E18" s="115">
        <v>1565.01</v>
      </c>
      <c r="F18" s="357">
        <v>2458</v>
      </c>
      <c r="G18" s="684">
        <v>2716</v>
      </c>
      <c r="H18" s="756">
        <v>1208.0999999999999</v>
      </c>
      <c r="I18" s="1019">
        <v>2981</v>
      </c>
      <c r="J18" s="535">
        <f t="shared" si="2"/>
        <v>121.27746135069162</v>
      </c>
      <c r="K18" s="536">
        <f t="shared" si="3"/>
        <v>109.75699558173785</v>
      </c>
      <c r="L18" s="84"/>
      <c r="M18" s="84"/>
      <c r="N18" s="85"/>
      <c r="O18" s="85"/>
      <c r="P18" s="85"/>
      <c r="Q18" s="85"/>
      <c r="R18" s="85"/>
    </row>
    <row r="19" spans="1:18" ht="20.100000000000001" customHeight="1" x14ac:dyDescent="0.25">
      <c r="A19" s="507">
        <v>3269</v>
      </c>
      <c r="B19" s="1197" t="s">
        <v>120</v>
      </c>
      <c r="C19" s="1198"/>
      <c r="D19" s="357">
        <v>50282</v>
      </c>
      <c r="E19" s="115">
        <v>0</v>
      </c>
      <c r="F19" s="357">
        <v>52651</v>
      </c>
      <c r="G19" s="684">
        <v>75523.98</v>
      </c>
      <c r="H19" s="756">
        <v>6500.12</v>
      </c>
      <c r="I19" s="1019">
        <v>54987</v>
      </c>
      <c r="J19" s="535">
        <f t="shared" si="2"/>
        <v>104.43676283451407</v>
      </c>
      <c r="K19" s="536">
        <f t="shared" si="3"/>
        <v>72.807338808150732</v>
      </c>
      <c r="L19" s="84"/>
      <c r="M19" s="84"/>
      <c r="N19" s="85"/>
      <c r="O19" s="85"/>
      <c r="P19" s="85"/>
      <c r="Q19" s="85"/>
      <c r="R19" s="85"/>
    </row>
    <row r="20" spans="1:18" ht="30" customHeight="1" x14ac:dyDescent="0.25">
      <c r="A20" s="507" t="s">
        <v>121</v>
      </c>
      <c r="B20" s="1197" t="s">
        <v>122</v>
      </c>
      <c r="C20" s="1198"/>
      <c r="D20" s="357">
        <v>5048</v>
      </c>
      <c r="E20" s="115">
        <v>5283.66</v>
      </c>
      <c r="F20" s="357">
        <v>5552</v>
      </c>
      <c r="G20" s="684">
        <v>5065.66</v>
      </c>
      <c r="H20" s="756">
        <v>4095.7</v>
      </c>
      <c r="I20" s="1019">
        <v>5199</v>
      </c>
      <c r="J20" s="535">
        <f t="shared" si="2"/>
        <v>93.641930835734868</v>
      </c>
      <c r="K20" s="536">
        <f t="shared" si="3"/>
        <v>102.63223350955255</v>
      </c>
      <c r="L20" s="84"/>
      <c r="M20" s="84"/>
      <c r="N20" s="85"/>
      <c r="O20" s="85"/>
      <c r="P20" s="85"/>
      <c r="Q20" s="85"/>
      <c r="R20" s="85"/>
    </row>
    <row r="21" spans="1:18" ht="20.100000000000001" customHeight="1" x14ac:dyDescent="0.25">
      <c r="A21" s="507">
        <v>3421</v>
      </c>
      <c r="B21" s="1197" t="s">
        <v>123</v>
      </c>
      <c r="C21" s="1198"/>
      <c r="D21" s="357">
        <v>700</v>
      </c>
      <c r="E21" s="115">
        <v>1182.4100000000001</v>
      </c>
      <c r="F21" s="357">
        <v>1100</v>
      </c>
      <c r="G21" s="113">
        <v>1229.49</v>
      </c>
      <c r="H21" s="756">
        <v>980.5</v>
      </c>
      <c r="I21" s="1019">
        <v>3740</v>
      </c>
      <c r="J21" s="535">
        <f t="shared" si="2"/>
        <v>340</v>
      </c>
      <c r="K21" s="536">
        <f t="shared" si="3"/>
        <v>304.19116869596337</v>
      </c>
      <c r="L21" s="84"/>
      <c r="M21" s="84"/>
      <c r="N21" s="85"/>
      <c r="O21" s="85"/>
      <c r="P21" s="85"/>
      <c r="Q21" s="85"/>
      <c r="R21" s="85"/>
    </row>
    <row r="22" spans="1:18" s="87" customFormat="1" ht="15" customHeight="1" x14ac:dyDescent="0.25">
      <c r="A22" s="1205" t="s">
        <v>92</v>
      </c>
      <c r="B22" s="1203" t="s">
        <v>124</v>
      </c>
      <c r="C22" s="1204"/>
      <c r="D22" s="358">
        <v>416100</v>
      </c>
      <c r="E22" s="96">
        <v>399424.61</v>
      </c>
      <c r="F22" s="358">
        <v>460314</v>
      </c>
      <c r="G22" s="80">
        <v>457997.14</v>
      </c>
      <c r="H22" s="94">
        <v>322915.83</v>
      </c>
      <c r="I22" s="957">
        <v>576450</v>
      </c>
      <c r="J22" s="537">
        <f>I22/F22*100</f>
        <v>125.22973448559027</v>
      </c>
      <c r="K22" s="538">
        <f>I22/G22*100</f>
        <v>125.86323137301687</v>
      </c>
      <c r="M22" s="86"/>
      <c r="N22" s="86"/>
      <c r="O22" s="86"/>
      <c r="P22" s="86"/>
      <c r="Q22" s="86"/>
    </row>
    <row r="23" spans="1:18" s="87" customFormat="1" ht="15" customHeight="1" x14ac:dyDescent="0.25">
      <c r="A23" s="1205"/>
      <c r="B23" s="1206" t="s">
        <v>125</v>
      </c>
      <c r="C23" s="1202"/>
      <c r="D23" s="358">
        <v>40000</v>
      </c>
      <c r="E23" s="96">
        <v>40000</v>
      </c>
      <c r="F23" s="358">
        <v>40000</v>
      </c>
      <c r="G23" s="80">
        <v>40000</v>
      </c>
      <c r="H23" s="94">
        <v>30000</v>
      </c>
      <c r="I23" s="957">
        <v>40000</v>
      </c>
      <c r="J23" s="754">
        <f>I23/F23*100</f>
        <v>100</v>
      </c>
      <c r="K23" s="755">
        <f>I23/G23*100</f>
        <v>100</v>
      </c>
      <c r="M23" s="86"/>
      <c r="N23" s="86"/>
      <c r="O23" s="86"/>
      <c r="P23" s="86"/>
      <c r="Q23" s="86"/>
    </row>
    <row r="24" spans="1:18" s="69" customFormat="1" ht="20.100000000000001" customHeight="1" x14ac:dyDescent="0.25">
      <c r="A24" s="1199" t="s">
        <v>379</v>
      </c>
      <c r="B24" s="1200"/>
      <c r="C24" s="1148"/>
      <c r="D24" s="733">
        <f>SUM(D25:D36)</f>
        <v>354199</v>
      </c>
      <c r="E24" s="704">
        <f>SUM(E25:E36)</f>
        <v>269800.73</v>
      </c>
      <c r="F24" s="733">
        <v>250000</v>
      </c>
      <c r="G24" s="390">
        <f t="shared" ref="G24:I24" si="4">SUM(G25:G36)</f>
        <v>279202.4499999999</v>
      </c>
      <c r="H24" s="391">
        <f t="shared" si="4"/>
        <v>214310.81000000003</v>
      </c>
      <c r="I24" s="960">
        <f t="shared" si="4"/>
        <v>155000</v>
      </c>
      <c r="J24" s="541">
        <f t="shared" ref="J24:J48" si="5">I24/F24*100</f>
        <v>62</v>
      </c>
      <c r="K24" s="542">
        <f t="shared" ref="K24:K55" si="6">I24/G24*100</f>
        <v>55.515272161830978</v>
      </c>
      <c r="L24" s="385"/>
      <c r="M24" s="385"/>
      <c r="N24" s="385"/>
      <c r="O24" s="385"/>
      <c r="P24" s="385"/>
      <c r="Q24" s="385"/>
    </row>
    <row r="25" spans="1:18" s="87" customFormat="1" ht="30" customHeight="1" x14ac:dyDescent="0.25">
      <c r="A25" s="507">
        <v>3112</v>
      </c>
      <c r="B25" s="1197" t="s">
        <v>115</v>
      </c>
      <c r="C25" s="1198"/>
      <c r="D25" s="357">
        <v>972</v>
      </c>
      <c r="E25" s="703">
        <v>780.6</v>
      </c>
      <c r="F25" s="357">
        <v>689</v>
      </c>
      <c r="G25" s="113">
        <v>770.14</v>
      </c>
      <c r="H25" s="756">
        <v>572.69000000000005</v>
      </c>
      <c r="I25" s="1019">
        <v>425</v>
      </c>
      <c r="J25" s="535">
        <f t="shared" si="5"/>
        <v>61.683599419448477</v>
      </c>
      <c r="K25" s="536">
        <f t="shared" si="6"/>
        <v>55.18477159996884</v>
      </c>
      <c r="L25" s="86"/>
      <c r="M25" s="86"/>
      <c r="N25" s="86"/>
      <c r="O25" s="86"/>
      <c r="P25" s="86"/>
      <c r="Q25" s="86"/>
    </row>
    <row r="26" spans="1:18" s="87" customFormat="1" ht="30" customHeight="1" x14ac:dyDescent="0.25">
      <c r="A26" s="507">
        <v>3114</v>
      </c>
      <c r="B26" s="1197" t="s">
        <v>116</v>
      </c>
      <c r="C26" s="1198"/>
      <c r="D26" s="357">
        <v>26611</v>
      </c>
      <c r="E26" s="703">
        <v>21336.29</v>
      </c>
      <c r="F26" s="357">
        <v>19059</v>
      </c>
      <c r="G26" s="113">
        <v>21024.35</v>
      </c>
      <c r="H26" s="756">
        <v>16393.39</v>
      </c>
      <c r="I26" s="1019">
        <v>11564</v>
      </c>
      <c r="J26" s="535">
        <f t="shared" si="5"/>
        <v>60.674746838763838</v>
      </c>
      <c r="K26" s="536">
        <f t="shared" si="6"/>
        <v>55.002889506691055</v>
      </c>
      <c r="L26" s="86"/>
      <c r="M26" s="86"/>
      <c r="N26" s="86"/>
      <c r="O26" s="86"/>
      <c r="P26" s="86"/>
      <c r="Q26" s="86"/>
    </row>
    <row r="27" spans="1:18" s="87" customFormat="1" ht="20.100000000000001" customHeight="1" x14ac:dyDescent="0.25">
      <c r="A27" s="507">
        <v>3121</v>
      </c>
      <c r="B27" s="1197" t="s">
        <v>107</v>
      </c>
      <c r="C27" s="1198"/>
      <c r="D27" s="357">
        <v>54821</v>
      </c>
      <c r="E27" s="703">
        <v>43920.82</v>
      </c>
      <c r="F27" s="357">
        <v>41405</v>
      </c>
      <c r="G27" s="113">
        <v>46751.24</v>
      </c>
      <c r="H27" s="756">
        <v>36240.050000000003</v>
      </c>
      <c r="I27" s="1019">
        <v>25714</v>
      </c>
      <c r="J27" s="535">
        <f t="shared" si="5"/>
        <v>62.103610675039242</v>
      </c>
      <c r="K27" s="536">
        <f t="shared" si="6"/>
        <v>55.001749686211532</v>
      </c>
      <c r="L27" s="86"/>
      <c r="M27" s="86"/>
      <c r="N27" s="86"/>
      <c r="O27" s="86"/>
      <c r="P27" s="86"/>
      <c r="Q27" s="86"/>
    </row>
    <row r="28" spans="1:18" s="87" customFormat="1" ht="20.100000000000001" customHeight="1" x14ac:dyDescent="0.25">
      <c r="A28" s="507">
        <v>3122</v>
      </c>
      <c r="B28" s="1197" t="s">
        <v>108</v>
      </c>
      <c r="C28" s="1198"/>
      <c r="D28" s="357">
        <v>123103</v>
      </c>
      <c r="E28" s="703">
        <v>89435.9</v>
      </c>
      <c r="F28" s="357">
        <v>82501</v>
      </c>
      <c r="G28" s="113">
        <v>94161.79</v>
      </c>
      <c r="H28" s="756">
        <v>72449.75</v>
      </c>
      <c r="I28" s="1019">
        <v>52699</v>
      </c>
      <c r="J28" s="535">
        <f t="shared" si="5"/>
        <v>63.876801493315227</v>
      </c>
      <c r="K28" s="536">
        <f t="shared" si="6"/>
        <v>55.966438191117653</v>
      </c>
      <c r="L28" s="86"/>
      <c r="M28" s="86"/>
      <c r="N28" s="86"/>
      <c r="O28" s="86"/>
      <c r="P28" s="86"/>
      <c r="Q28" s="86"/>
    </row>
    <row r="29" spans="1:18" s="87" customFormat="1" ht="30" customHeight="1" x14ac:dyDescent="0.25">
      <c r="A29" s="507">
        <v>3123</v>
      </c>
      <c r="B29" s="1197" t="s">
        <v>117</v>
      </c>
      <c r="C29" s="1198"/>
      <c r="D29" s="357">
        <v>114922</v>
      </c>
      <c r="E29" s="703">
        <v>89983.78</v>
      </c>
      <c r="F29" s="357">
        <v>78544</v>
      </c>
      <c r="G29" s="113">
        <v>90712.83</v>
      </c>
      <c r="H29" s="756">
        <v>69311.509999999995</v>
      </c>
      <c r="I29" s="1019">
        <v>47731</v>
      </c>
      <c r="J29" s="535">
        <f t="shared" si="5"/>
        <v>60.769759625178246</v>
      </c>
      <c r="K29" s="536">
        <f t="shared" si="6"/>
        <v>52.617694762692338</v>
      </c>
      <c r="L29" s="86"/>
      <c r="M29" s="86"/>
      <c r="N29" s="86"/>
      <c r="O29" s="86"/>
      <c r="P29" s="86"/>
      <c r="Q29" s="86"/>
    </row>
    <row r="30" spans="1:18" s="87" customFormat="1" ht="28.5" customHeight="1" x14ac:dyDescent="0.25">
      <c r="A30" s="507">
        <v>3125</v>
      </c>
      <c r="B30" s="1197" t="s">
        <v>234</v>
      </c>
      <c r="C30" s="1198"/>
      <c r="D30" s="357">
        <v>1743</v>
      </c>
      <c r="E30" s="703">
        <v>2433</v>
      </c>
      <c r="F30" s="357">
        <v>2263</v>
      </c>
      <c r="G30" s="113">
        <v>2262.69</v>
      </c>
      <c r="H30" s="756">
        <v>1697</v>
      </c>
      <c r="I30" s="1019">
        <v>1245</v>
      </c>
      <c r="J30" s="535">
        <f t="shared" si="5"/>
        <v>55.015466195315952</v>
      </c>
      <c r="K30" s="536">
        <f t="shared" si="6"/>
        <v>55.023003593068431</v>
      </c>
      <c r="L30" s="86"/>
      <c r="M30" s="86"/>
      <c r="N30" s="86"/>
      <c r="O30" s="86"/>
      <c r="P30" s="86"/>
      <c r="Q30" s="86"/>
    </row>
    <row r="31" spans="1:18" s="87" customFormat="1" ht="20.100000000000001" customHeight="1" x14ac:dyDescent="0.25">
      <c r="A31" s="507">
        <v>3133</v>
      </c>
      <c r="B31" s="1197" t="s">
        <v>109</v>
      </c>
      <c r="C31" s="1198"/>
      <c r="D31" s="357">
        <v>12356</v>
      </c>
      <c r="E31" s="703">
        <v>9693.0400000000009</v>
      </c>
      <c r="F31" s="357">
        <v>8917</v>
      </c>
      <c r="G31" s="113">
        <v>10241.81</v>
      </c>
      <c r="H31" s="756">
        <v>8050.89</v>
      </c>
      <c r="I31" s="1019">
        <v>5634</v>
      </c>
      <c r="J31" s="535">
        <f t="shared" si="5"/>
        <v>63.18268475944825</v>
      </c>
      <c r="K31" s="536">
        <f t="shared" si="6"/>
        <v>55.009807836700745</v>
      </c>
      <c r="L31" s="86"/>
      <c r="M31" s="86"/>
      <c r="N31" s="86"/>
      <c r="O31" s="86"/>
      <c r="P31" s="86"/>
      <c r="Q31" s="86"/>
    </row>
    <row r="32" spans="1:18" s="87" customFormat="1" ht="20.100000000000001" customHeight="1" x14ac:dyDescent="0.25">
      <c r="A32" s="507">
        <v>3146</v>
      </c>
      <c r="B32" s="1197" t="s">
        <v>118</v>
      </c>
      <c r="C32" s="1198"/>
      <c r="D32" s="357">
        <v>1761</v>
      </c>
      <c r="E32" s="703">
        <v>2237.44</v>
      </c>
      <c r="F32" s="357">
        <v>2081</v>
      </c>
      <c r="G32" s="113">
        <v>2350.91</v>
      </c>
      <c r="H32" s="756">
        <v>1830.69</v>
      </c>
      <c r="I32" s="1019">
        <v>1294</v>
      </c>
      <c r="J32" s="535">
        <f t="shared" si="5"/>
        <v>62.181643440653531</v>
      </c>
      <c r="K32" s="536">
        <f t="shared" si="6"/>
        <v>55.04251545146348</v>
      </c>
      <c r="L32" s="86"/>
      <c r="M32" s="86"/>
      <c r="N32" s="86"/>
      <c r="O32" s="86"/>
      <c r="P32" s="86"/>
      <c r="Q32" s="86"/>
    </row>
    <row r="33" spans="1:17" s="87" customFormat="1" ht="20.100000000000001" customHeight="1" x14ac:dyDescent="0.25">
      <c r="A33" s="507">
        <v>3231</v>
      </c>
      <c r="B33" s="1197" t="s">
        <v>119</v>
      </c>
      <c r="C33" s="1198"/>
      <c r="D33" s="357">
        <v>5667</v>
      </c>
      <c r="E33" s="703">
        <v>3266.63</v>
      </c>
      <c r="F33" s="357">
        <v>2983</v>
      </c>
      <c r="G33" s="113">
        <v>3148.22</v>
      </c>
      <c r="H33" s="756">
        <v>2296.36</v>
      </c>
      <c r="I33" s="1019">
        <v>1647</v>
      </c>
      <c r="J33" s="535">
        <f t="shared" si="5"/>
        <v>55.212872946697956</v>
      </c>
      <c r="K33" s="536">
        <f t="shared" si="6"/>
        <v>52.315276568981837</v>
      </c>
      <c r="L33" s="86"/>
      <c r="M33" s="86"/>
      <c r="N33" s="86"/>
      <c r="O33" s="86"/>
      <c r="P33" s="86"/>
      <c r="Q33" s="86"/>
    </row>
    <row r="34" spans="1:17" s="87" customFormat="1" ht="20.100000000000001" customHeight="1" x14ac:dyDescent="0.25">
      <c r="A34" s="507">
        <v>3269</v>
      </c>
      <c r="B34" s="1197" t="s">
        <v>120</v>
      </c>
      <c r="C34" s="1198"/>
      <c r="D34" s="357">
        <v>1000</v>
      </c>
      <c r="E34" s="703">
        <v>0</v>
      </c>
      <c r="F34" s="357">
        <v>5314</v>
      </c>
      <c r="G34" s="113">
        <v>749.3</v>
      </c>
      <c r="H34" s="756">
        <v>0</v>
      </c>
      <c r="I34" s="1019">
        <v>3179</v>
      </c>
      <c r="J34" s="535">
        <f t="shared" si="5"/>
        <v>59.823108769288666</v>
      </c>
      <c r="K34" s="536">
        <f t="shared" si="6"/>
        <v>424.26264513545976</v>
      </c>
      <c r="L34" s="86"/>
      <c r="M34" s="86"/>
      <c r="N34" s="86"/>
      <c r="O34" s="86"/>
      <c r="P34" s="86"/>
      <c r="Q34" s="86"/>
    </row>
    <row r="35" spans="1:17" s="87" customFormat="1" ht="30" customHeight="1" x14ac:dyDescent="0.25">
      <c r="A35" s="507" t="s">
        <v>121</v>
      </c>
      <c r="B35" s="1197" t="s">
        <v>122</v>
      </c>
      <c r="C35" s="1198"/>
      <c r="D35" s="357">
        <v>1090</v>
      </c>
      <c r="E35" s="703">
        <v>693.48</v>
      </c>
      <c r="F35" s="357">
        <v>645</v>
      </c>
      <c r="G35" s="113">
        <v>716.12</v>
      </c>
      <c r="H35" s="756">
        <v>554.97</v>
      </c>
      <c r="I35" s="1019">
        <v>395</v>
      </c>
      <c r="J35" s="535">
        <f t="shared" si="5"/>
        <v>61.240310077519375</v>
      </c>
      <c r="K35" s="536">
        <f t="shared" si="6"/>
        <v>55.158353348600798</v>
      </c>
      <c r="L35" s="86"/>
      <c r="M35" s="86"/>
      <c r="N35" s="86"/>
      <c r="O35" s="86"/>
      <c r="P35" s="86"/>
      <c r="Q35" s="86"/>
    </row>
    <row r="36" spans="1:17" s="87" customFormat="1" ht="20.100000000000001" customHeight="1" x14ac:dyDescent="0.25">
      <c r="A36" s="507">
        <v>3421</v>
      </c>
      <c r="B36" s="1197" t="s">
        <v>123</v>
      </c>
      <c r="C36" s="1198"/>
      <c r="D36" s="357">
        <v>10153</v>
      </c>
      <c r="E36" s="703">
        <v>6019.75</v>
      </c>
      <c r="F36" s="357">
        <v>5599</v>
      </c>
      <c r="G36" s="113">
        <v>6313.05</v>
      </c>
      <c r="H36" s="756">
        <v>4913.51</v>
      </c>
      <c r="I36" s="1019">
        <v>3473</v>
      </c>
      <c r="J36" s="535">
        <f t="shared" si="5"/>
        <v>62.028933738167538</v>
      </c>
      <c r="K36" s="536">
        <f t="shared" si="6"/>
        <v>55.01302856780795</v>
      </c>
      <c r="L36" s="86"/>
      <c r="M36" s="86"/>
      <c r="N36" s="86"/>
      <c r="O36" s="86"/>
      <c r="P36" s="86"/>
      <c r="Q36" s="86"/>
    </row>
    <row r="37" spans="1:17" s="69" customFormat="1" ht="24" customHeight="1" x14ac:dyDescent="0.25">
      <c r="A37" s="1199" t="s">
        <v>126</v>
      </c>
      <c r="B37" s="1200"/>
      <c r="C37" s="1148"/>
      <c r="D37" s="388">
        <f t="shared" ref="D37" si="7">SUM(D38:D47)</f>
        <v>42000</v>
      </c>
      <c r="E37" s="387">
        <f t="shared" ref="E37:H37" si="8">SUM(E38:E47)</f>
        <v>46515.07</v>
      </c>
      <c r="F37" s="388">
        <v>50000</v>
      </c>
      <c r="G37" s="394">
        <f t="shared" si="8"/>
        <v>50879.839999999997</v>
      </c>
      <c r="H37" s="389">
        <f t="shared" si="8"/>
        <v>34661.379999999997</v>
      </c>
      <c r="I37" s="960">
        <f>SUM(I38:I47)</f>
        <v>50000</v>
      </c>
      <c r="J37" s="539">
        <f t="shared" si="5"/>
        <v>100</v>
      </c>
      <c r="K37" s="540">
        <f t="shared" si="6"/>
        <v>98.270749279085791</v>
      </c>
      <c r="L37" s="385"/>
      <c r="M37" s="385"/>
      <c r="N37" s="385"/>
      <c r="O37" s="385"/>
      <c r="P37" s="385"/>
      <c r="Q37" s="385"/>
    </row>
    <row r="38" spans="1:17" s="312" customFormat="1" ht="30" customHeight="1" x14ac:dyDescent="0.25">
      <c r="A38" s="507">
        <v>3112</v>
      </c>
      <c r="B38" s="1197" t="s">
        <v>115</v>
      </c>
      <c r="C38" s="1198"/>
      <c r="D38" s="357">
        <v>350</v>
      </c>
      <c r="E38" s="115">
        <v>350.81</v>
      </c>
      <c r="F38" s="357">
        <v>383</v>
      </c>
      <c r="G38" s="113">
        <v>355.98</v>
      </c>
      <c r="H38" s="756">
        <v>265.60000000000002</v>
      </c>
      <c r="I38" s="1019">
        <v>373</v>
      </c>
      <c r="J38" s="535">
        <f t="shared" si="5"/>
        <v>97.38903394255874</v>
      </c>
      <c r="K38" s="536">
        <f t="shared" si="6"/>
        <v>104.78116748131916</v>
      </c>
      <c r="L38" s="311"/>
      <c r="M38" s="311"/>
      <c r="N38" s="311"/>
      <c r="O38" s="311"/>
      <c r="P38" s="311"/>
      <c r="Q38" s="311"/>
    </row>
    <row r="39" spans="1:17" s="100" customFormat="1" ht="30" customHeight="1" x14ac:dyDescent="0.25">
      <c r="A39" s="507">
        <v>3114</v>
      </c>
      <c r="B39" s="1197" t="s">
        <v>116</v>
      </c>
      <c r="C39" s="1198"/>
      <c r="D39" s="357">
        <v>4491</v>
      </c>
      <c r="E39" s="115">
        <v>4407.0200000000004</v>
      </c>
      <c r="F39" s="357">
        <v>4668</v>
      </c>
      <c r="G39" s="113">
        <v>4592.29</v>
      </c>
      <c r="H39" s="756">
        <v>3405.27</v>
      </c>
      <c r="I39" s="1019">
        <v>4811</v>
      </c>
      <c r="J39" s="535">
        <f t="shared" si="5"/>
        <v>103.06341045415594</v>
      </c>
      <c r="K39" s="536">
        <f t="shared" si="6"/>
        <v>104.7625476614064</v>
      </c>
      <c r="L39" s="149"/>
      <c r="M39" s="149"/>
      <c r="N39" s="149"/>
      <c r="O39" s="149"/>
      <c r="P39" s="149"/>
      <c r="Q39" s="149"/>
    </row>
    <row r="40" spans="1:17" s="100" customFormat="1" ht="20.100000000000001" customHeight="1" x14ac:dyDescent="0.25">
      <c r="A40" s="507">
        <v>3121</v>
      </c>
      <c r="B40" s="1197" t="s">
        <v>107</v>
      </c>
      <c r="C40" s="1198"/>
      <c r="D40" s="357">
        <v>12601</v>
      </c>
      <c r="E40" s="115">
        <v>12935.28</v>
      </c>
      <c r="F40" s="357">
        <v>13885</v>
      </c>
      <c r="G40" s="113">
        <v>13010.71</v>
      </c>
      <c r="H40" s="756">
        <v>9529.7999999999993</v>
      </c>
      <c r="I40" s="1019">
        <v>13630</v>
      </c>
      <c r="J40" s="535">
        <f t="shared" si="5"/>
        <v>98.163485776017296</v>
      </c>
      <c r="K40" s="536">
        <f t="shared" si="6"/>
        <v>104.75984784842642</v>
      </c>
      <c r="L40" s="149"/>
      <c r="M40" s="149"/>
      <c r="N40" s="149"/>
      <c r="O40" s="149"/>
      <c r="P40" s="149"/>
      <c r="Q40" s="149"/>
    </row>
    <row r="41" spans="1:17" s="100" customFormat="1" ht="20.100000000000001" customHeight="1" x14ac:dyDescent="0.25">
      <c r="A41" s="507">
        <v>3122</v>
      </c>
      <c r="B41" s="1197" t="s">
        <v>108</v>
      </c>
      <c r="C41" s="1198"/>
      <c r="D41" s="357">
        <v>6648</v>
      </c>
      <c r="E41" s="115">
        <v>9115.86</v>
      </c>
      <c r="F41" s="357">
        <v>10011</v>
      </c>
      <c r="G41" s="113">
        <v>10222.44</v>
      </c>
      <c r="H41" s="756">
        <v>7022.4</v>
      </c>
      <c r="I41" s="1019">
        <v>10900</v>
      </c>
      <c r="J41" s="535">
        <f t="shared" si="5"/>
        <v>108.88023174508041</v>
      </c>
      <c r="K41" s="536">
        <f t="shared" si="6"/>
        <v>106.62816313913312</v>
      </c>
      <c r="L41" s="149"/>
      <c r="M41" s="149"/>
      <c r="N41" s="149"/>
      <c r="O41" s="149"/>
      <c r="P41" s="149"/>
      <c r="Q41" s="149"/>
    </row>
    <row r="42" spans="1:17" s="100" customFormat="1" ht="31.5" customHeight="1" x14ac:dyDescent="0.25">
      <c r="A42" s="507">
        <v>3123</v>
      </c>
      <c r="B42" s="1197" t="s">
        <v>117</v>
      </c>
      <c r="C42" s="1198"/>
      <c r="D42" s="357">
        <v>11337</v>
      </c>
      <c r="E42" s="115">
        <v>11420.31</v>
      </c>
      <c r="F42" s="357">
        <v>12033</v>
      </c>
      <c r="G42" s="113">
        <v>11174.74</v>
      </c>
      <c r="H42" s="756">
        <v>8329.41</v>
      </c>
      <c r="I42" s="1019">
        <v>11517</v>
      </c>
      <c r="J42" s="535">
        <f t="shared" si="5"/>
        <v>95.711792570431314</v>
      </c>
      <c r="K42" s="536">
        <f t="shared" si="6"/>
        <v>103.06280056627716</v>
      </c>
      <c r="L42" s="149"/>
      <c r="M42" s="149"/>
      <c r="N42" s="149"/>
      <c r="O42" s="149"/>
      <c r="P42" s="149"/>
      <c r="Q42" s="149"/>
    </row>
    <row r="43" spans="1:17" s="100" customFormat="1" ht="20.100000000000001" customHeight="1" x14ac:dyDescent="0.25">
      <c r="A43" s="507">
        <v>3146</v>
      </c>
      <c r="B43" s="1197" t="s">
        <v>118</v>
      </c>
      <c r="C43" s="1198"/>
      <c r="D43" s="357">
        <v>2082</v>
      </c>
      <c r="E43" s="115">
        <v>3795.58</v>
      </c>
      <c r="F43" s="357">
        <v>4142</v>
      </c>
      <c r="G43" s="113">
        <v>3795.58</v>
      </c>
      <c r="H43" s="756">
        <v>2797.7</v>
      </c>
      <c r="I43" s="1019">
        <v>3976</v>
      </c>
      <c r="J43" s="535">
        <f t="shared" si="5"/>
        <v>95.992274263640752</v>
      </c>
      <c r="K43" s="536">
        <f t="shared" si="6"/>
        <v>104.7534237191681</v>
      </c>
      <c r="L43" s="149"/>
      <c r="M43" s="149"/>
      <c r="N43" s="149"/>
      <c r="O43" s="149"/>
      <c r="P43" s="149"/>
      <c r="Q43" s="149"/>
    </row>
    <row r="44" spans="1:17" s="100" customFormat="1" ht="20.100000000000001" customHeight="1" x14ac:dyDescent="0.25">
      <c r="A44" s="507">
        <v>3231</v>
      </c>
      <c r="B44" s="1197" t="s">
        <v>119</v>
      </c>
      <c r="C44" s="1198"/>
      <c r="D44" s="357">
        <v>2498</v>
      </c>
      <c r="E44" s="115">
        <v>2373.7399999999998</v>
      </c>
      <c r="F44" s="357">
        <v>2592</v>
      </c>
      <c r="G44" s="113">
        <v>2324.41</v>
      </c>
      <c r="H44" s="756">
        <v>1723</v>
      </c>
      <c r="I44" s="1019">
        <v>2435</v>
      </c>
      <c r="J44" s="535">
        <f t="shared" si="5"/>
        <v>93.942901234567898</v>
      </c>
      <c r="K44" s="536">
        <f t="shared" si="6"/>
        <v>104.75776648697949</v>
      </c>
      <c r="L44" s="149"/>
      <c r="M44" s="149"/>
      <c r="N44" s="149"/>
      <c r="O44" s="149"/>
      <c r="P44" s="149"/>
      <c r="Q44" s="149"/>
    </row>
    <row r="45" spans="1:17" s="100" customFormat="1" ht="20.100000000000001" customHeight="1" x14ac:dyDescent="0.25">
      <c r="A45" s="507">
        <v>3269</v>
      </c>
      <c r="B45" s="1197" t="s">
        <v>120</v>
      </c>
      <c r="C45" s="1198"/>
      <c r="D45" s="357">
        <v>0</v>
      </c>
      <c r="E45" s="115">
        <v>0</v>
      </c>
      <c r="F45" s="357">
        <v>0</v>
      </c>
      <c r="G45" s="113">
        <v>3153.93</v>
      </c>
      <c r="H45" s="756">
        <v>0</v>
      </c>
      <c r="I45" s="1019">
        <v>0</v>
      </c>
      <c r="J45" s="535" t="s">
        <v>58</v>
      </c>
      <c r="K45" s="536">
        <f t="shared" si="6"/>
        <v>0</v>
      </c>
      <c r="L45" s="149"/>
      <c r="M45" s="149"/>
      <c r="N45" s="149"/>
      <c r="O45" s="149"/>
      <c r="P45" s="149"/>
      <c r="Q45" s="149"/>
    </row>
    <row r="46" spans="1:17" s="100" customFormat="1" ht="30" customHeight="1" x14ac:dyDescent="0.25">
      <c r="A46" s="507" t="s">
        <v>121</v>
      </c>
      <c r="B46" s="1197" t="s">
        <v>122</v>
      </c>
      <c r="C46" s="1198"/>
      <c r="D46" s="357">
        <v>733</v>
      </c>
      <c r="E46" s="115">
        <v>922.83</v>
      </c>
      <c r="F46" s="357">
        <v>1007</v>
      </c>
      <c r="G46" s="113">
        <v>922.83</v>
      </c>
      <c r="H46" s="756">
        <v>631.70000000000005</v>
      </c>
      <c r="I46" s="1019">
        <v>968</v>
      </c>
      <c r="J46" s="535">
        <f t="shared" si="5"/>
        <v>96.127110228401193</v>
      </c>
      <c r="K46" s="536">
        <f t="shared" si="6"/>
        <v>104.89472600587324</v>
      </c>
      <c r="L46" s="149"/>
      <c r="M46" s="149"/>
      <c r="N46" s="149"/>
      <c r="O46" s="149"/>
      <c r="P46" s="149"/>
      <c r="Q46" s="149"/>
    </row>
    <row r="47" spans="1:17" s="100" customFormat="1" ht="20.100000000000001" customHeight="1" x14ac:dyDescent="0.25">
      <c r="A47" s="507">
        <v>3421</v>
      </c>
      <c r="B47" s="1197" t="s">
        <v>123</v>
      </c>
      <c r="C47" s="1198"/>
      <c r="D47" s="357">
        <v>1260</v>
      </c>
      <c r="E47" s="115">
        <v>1193.6400000000001</v>
      </c>
      <c r="F47" s="357">
        <v>1279</v>
      </c>
      <c r="G47" s="113">
        <v>1326.93</v>
      </c>
      <c r="H47" s="756">
        <v>956.5</v>
      </c>
      <c r="I47" s="1019">
        <v>1390</v>
      </c>
      <c r="J47" s="535">
        <f t="shared" si="5"/>
        <v>108.67865519937452</v>
      </c>
      <c r="K47" s="536">
        <f t="shared" si="6"/>
        <v>104.75307665061457</v>
      </c>
      <c r="L47" s="149"/>
      <c r="M47" s="149"/>
      <c r="N47" s="149"/>
      <c r="O47" s="149"/>
      <c r="P47" s="149"/>
      <c r="Q47" s="149"/>
    </row>
    <row r="48" spans="1:17" s="69" customFormat="1" ht="24" customHeight="1" x14ac:dyDescent="0.25">
      <c r="A48" s="1199" t="s">
        <v>128</v>
      </c>
      <c r="B48" s="1200"/>
      <c r="C48" s="1148"/>
      <c r="D48" s="388">
        <f t="shared" ref="D48" si="9">SUM(D49:D57)</f>
        <v>62000</v>
      </c>
      <c r="E48" s="387">
        <f t="shared" ref="E48:H48" si="10">SUM(E49:E57)</f>
        <v>62754.680000000008</v>
      </c>
      <c r="F48" s="388">
        <v>62000</v>
      </c>
      <c r="G48" s="394">
        <f t="shared" si="10"/>
        <v>74946.73</v>
      </c>
      <c r="H48" s="389">
        <f t="shared" si="10"/>
        <v>16943.63</v>
      </c>
      <c r="I48" s="960">
        <f>SUM(I49:I57)</f>
        <v>62000</v>
      </c>
      <c r="J48" s="539">
        <f t="shared" si="5"/>
        <v>100</v>
      </c>
      <c r="K48" s="540">
        <f t="shared" si="6"/>
        <v>82.725423777661817</v>
      </c>
      <c r="L48" s="385"/>
      <c r="M48" s="385"/>
      <c r="N48" s="385"/>
      <c r="O48" s="385"/>
      <c r="P48" s="385"/>
      <c r="Q48" s="385"/>
    </row>
    <row r="49" spans="1:17" s="100" customFormat="1" ht="30.75" customHeight="1" x14ac:dyDescent="0.25">
      <c r="A49" s="529">
        <v>3114</v>
      </c>
      <c r="B49" s="1197" t="s">
        <v>116</v>
      </c>
      <c r="C49" s="1198"/>
      <c r="D49" s="372">
        <v>0</v>
      </c>
      <c r="E49" s="371">
        <v>6366.06</v>
      </c>
      <c r="F49" s="372">
        <v>0</v>
      </c>
      <c r="G49" s="373">
        <v>8639.31</v>
      </c>
      <c r="H49" s="374">
        <v>1324.07</v>
      </c>
      <c r="I49" s="1019">
        <v>0</v>
      </c>
      <c r="J49" s="535" t="s">
        <v>58</v>
      </c>
      <c r="K49" s="536">
        <f t="shared" si="6"/>
        <v>0</v>
      </c>
      <c r="L49" s="149"/>
      <c r="M49" s="149"/>
      <c r="N49" s="149"/>
      <c r="O49" s="149"/>
      <c r="P49" s="149"/>
      <c r="Q49" s="149"/>
    </row>
    <row r="50" spans="1:17" s="100" customFormat="1" ht="20.100000000000001" customHeight="1" x14ac:dyDescent="0.25">
      <c r="A50" s="529">
        <v>3121</v>
      </c>
      <c r="B50" s="1197" t="s">
        <v>107</v>
      </c>
      <c r="C50" s="1198"/>
      <c r="D50" s="372">
        <v>0</v>
      </c>
      <c r="E50" s="371">
        <v>7006.75</v>
      </c>
      <c r="F50" s="372">
        <v>0</v>
      </c>
      <c r="G50" s="373">
        <v>16663.419999999998</v>
      </c>
      <c r="H50" s="374">
        <v>4050.54</v>
      </c>
      <c r="I50" s="1019">
        <v>0</v>
      </c>
      <c r="J50" s="535" t="s">
        <v>58</v>
      </c>
      <c r="K50" s="536">
        <f t="shared" si="6"/>
        <v>0</v>
      </c>
      <c r="L50" s="149"/>
      <c r="M50" s="149"/>
      <c r="N50" s="149"/>
      <c r="O50" s="149"/>
      <c r="P50" s="149"/>
      <c r="Q50" s="149"/>
    </row>
    <row r="51" spans="1:17" s="100" customFormat="1" ht="20.100000000000001" customHeight="1" x14ac:dyDescent="0.25">
      <c r="A51" s="529">
        <v>3122</v>
      </c>
      <c r="B51" s="1197" t="s">
        <v>108</v>
      </c>
      <c r="C51" s="1198"/>
      <c r="D51" s="372">
        <v>0</v>
      </c>
      <c r="E51" s="371">
        <v>26700.38</v>
      </c>
      <c r="F51" s="372">
        <v>0</v>
      </c>
      <c r="G51" s="373">
        <v>22735</v>
      </c>
      <c r="H51" s="374">
        <v>4688.05</v>
      </c>
      <c r="I51" s="1019">
        <v>0</v>
      </c>
      <c r="J51" s="535" t="s">
        <v>58</v>
      </c>
      <c r="K51" s="536">
        <f t="shared" si="6"/>
        <v>0</v>
      </c>
      <c r="L51" s="149"/>
      <c r="M51" s="149"/>
      <c r="N51" s="149"/>
      <c r="O51" s="149"/>
      <c r="P51" s="149"/>
      <c r="Q51" s="149"/>
    </row>
    <row r="52" spans="1:17" s="100" customFormat="1" ht="30.75" customHeight="1" x14ac:dyDescent="0.25">
      <c r="A52" s="529">
        <v>3123</v>
      </c>
      <c r="B52" s="1197" t="s">
        <v>117</v>
      </c>
      <c r="C52" s="1198"/>
      <c r="D52" s="372">
        <v>0</v>
      </c>
      <c r="E52" s="371">
        <v>20091.13</v>
      </c>
      <c r="F52" s="372">
        <v>0</v>
      </c>
      <c r="G52" s="373">
        <v>23613.69</v>
      </c>
      <c r="H52" s="374">
        <v>6116.06</v>
      </c>
      <c r="I52" s="1019">
        <v>0</v>
      </c>
      <c r="J52" s="535" t="s">
        <v>58</v>
      </c>
      <c r="K52" s="536">
        <f t="shared" si="6"/>
        <v>0</v>
      </c>
      <c r="L52" s="149"/>
      <c r="M52" s="149"/>
      <c r="N52" s="149"/>
      <c r="O52" s="149"/>
      <c r="P52" s="149"/>
      <c r="Q52" s="149"/>
    </row>
    <row r="53" spans="1:17" s="100" customFormat="1" ht="30" customHeight="1" x14ac:dyDescent="0.25">
      <c r="A53" s="529">
        <v>3125</v>
      </c>
      <c r="B53" s="1197" t="s">
        <v>234</v>
      </c>
      <c r="C53" s="1198"/>
      <c r="D53" s="372">
        <v>0</v>
      </c>
      <c r="E53" s="371">
        <v>0</v>
      </c>
      <c r="F53" s="372">
        <v>0</v>
      </c>
      <c r="G53" s="373">
        <v>1000</v>
      </c>
      <c r="H53" s="374">
        <v>0</v>
      </c>
      <c r="I53" s="1019">
        <v>0</v>
      </c>
      <c r="J53" s="535" t="s">
        <v>58</v>
      </c>
      <c r="K53" s="536">
        <f t="shared" si="6"/>
        <v>0</v>
      </c>
      <c r="L53" s="149"/>
      <c r="M53" s="149"/>
      <c r="N53" s="149"/>
      <c r="O53" s="149"/>
      <c r="P53" s="149"/>
      <c r="Q53" s="149"/>
    </row>
    <row r="54" spans="1:17" s="100" customFormat="1" ht="20.100000000000001" customHeight="1" x14ac:dyDescent="0.25">
      <c r="A54" s="529">
        <v>3133</v>
      </c>
      <c r="B54" s="1197" t="s">
        <v>109</v>
      </c>
      <c r="C54" s="1198"/>
      <c r="D54" s="372">
        <v>0</v>
      </c>
      <c r="E54" s="371">
        <v>2467.14</v>
      </c>
      <c r="F54" s="372">
        <v>0</v>
      </c>
      <c r="G54" s="373">
        <v>950</v>
      </c>
      <c r="H54" s="374">
        <v>0</v>
      </c>
      <c r="I54" s="1019">
        <v>0</v>
      </c>
      <c r="J54" s="535" t="s">
        <v>58</v>
      </c>
      <c r="K54" s="536">
        <f t="shared" si="6"/>
        <v>0</v>
      </c>
      <c r="L54" s="149"/>
      <c r="M54" s="149"/>
      <c r="N54" s="149"/>
      <c r="O54" s="149"/>
      <c r="P54" s="149"/>
      <c r="Q54" s="149"/>
    </row>
    <row r="55" spans="1:17" s="100" customFormat="1" ht="20.100000000000001" customHeight="1" x14ac:dyDescent="0.25">
      <c r="A55" s="529">
        <v>3231</v>
      </c>
      <c r="B55" s="1197" t="s">
        <v>119</v>
      </c>
      <c r="C55" s="1198"/>
      <c r="D55" s="372">
        <v>0</v>
      </c>
      <c r="E55" s="371">
        <v>123.22</v>
      </c>
      <c r="F55" s="372">
        <v>0</v>
      </c>
      <c r="G55" s="373">
        <v>800</v>
      </c>
      <c r="H55" s="374">
        <v>764.91</v>
      </c>
      <c r="I55" s="1019">
        <v>0</v>
      </c>
      <c r="J55" s="535" t="s">
        <v>58</v>
      </c>
      <c r="K55" s="536">
        <f t="shared" si="6"/>
        <v>0</v>
      </c>
      <c r="L55" s="149"/>
      <c r="M55" s="149"/>
      <c r="N55" s="149"/>
      <c r="O55" s="149"/>
      <c r="P55" s="149"/>
      <c r="Q55" s="149"/>
    </row>
    <row r="56" spans="1:17" s="100" customFormat="1" ht="20.100000000000001" customHeight="1" x14ac:dyDescent="0.25">
      <c r="A56" s="529">
        <v>3269</v>
      </c>
      <c r="B56" s="1197" t="s">
        <v>120</v>
      </c>
      <c r="C56" s="1198"/>
      <c r="D56" s="372">
        <v>62000</v>
      </c>
      <c r="E56" s="371">
        <v>0</v>
      </c>
      <c r="F56" s="372">
        <v>62000</v>
      </c>
      <c r="G56" s="373">
        <v>285.31</v>
      </c>
      <c r="H56" s="374">
        <v>0</v>
      </c>
      <c r="I56" s="1019">
        <v>62000</v>
      </c>
      <c r="J56" s="535">
        <f>I56/F56*100</f>
        <v>100</v>
      </c>
      <c r="K56" s="536">
        <f>I56/G56*100</f>
        <v>21730.749009848936</v>
      </c>
      <c r="L56" s="149"/>
      <c r="M56" s="149"/>
      <c r="N56" s="149"/>
      <c r="O56" s="149"/>
      <c r="P56" s="149"/>
      <c r="Q56" s="149"/>
    </row>
    <row r="57" spans="1:17" s="100" customFormat="1" ht="20.100000000000001" customHeight="1" x14ac:dyDescent="0.25">
      <c r="A57" s="531">
        <v>3421</v>
      </c>
      <c r="B57" s="1197" t="s">
        <v>123</v>
      </c>
      <c r="C57" s="1198"/>
      <c r="D57" s="372">
        <v>0</v>
      </c>
      <c r="E57" s="371">
        <v>0</v>
      </c>
      <c r="F57" s="372">
        <v>0</v>
      </c>
      <c r="G57" s="373">
        <v>260</v>
      </c>
      <c r="H57" s="374">
        <v>0</v>
      </c>
      <c r="I57" s="1019">
        <v>0</v>
      </c>
      <c r="J57" s="535" t="s">
        <v>58</v>
      </c>
      <c r="K57" s="536">
        <f t="shared" ref="K57" si="11">I57/G57*100</f>
        <v>0</v>
      </c>
      <c r="L57" s="149"/>
      <c r="M57" s="149"/>
      <c r="N57" s="149"/>
      <c r="O57" s="149"/>
      <c r="P57" s="149"/>
      <c r="Q57" s="149"/>
    </row>
    <row r="58" spans="1:17" s="87" customFormat="1" ht="15" customHeight="1" x14ac:dyDescent="0.25">
      <c r="A58" s="532" t="s">
        <v>92</v>
      </c>
      <c r="B58" s="1201" t="s">
        <v>125</v>
      </c>
      <c r="C58" s="1202"/>
      <c r="D58" s="358">
        <v>62000</v>
      </c>
      <c r="E58" s="96">
        <f>+E48</f>
        <v>62754.680000000008</v>
      </c>
      <c r="F58" s="358">
        <v>62000</v>
      </c>
      <c r="G58" s="80">
        <v>74946.73</v>
      </c>
      <c r="H58" s="80">
        <v>16943.63</v>
      </c>
      <c r="I58" s="957">
        <v>62000</v>
      </c>
      <c r="J58" s="537">
        <f>I58/F58*100</f>
        <v>100</v>
      </c>
      <c r="K58" s="538">
        <f>I58/G58*100</f>
        <v>82.725423777661817</v>
      </c>
      <c r="L58" s="86"/>
      <c r="M58" s="86"/>
      <c r="N58" s="86"/>
      <c r="O58" s="86"/>
      <c r="P58" s="86"/>
      <c r="Q58" s="86"/>
    </row>
    <row r="59" spans="1:17" s="69" customFormat="1" ht="24" customHeight="1" x14ac:dyDescent="0.25">
      <c r="A59" s="1199" t="s">
        <v>348</v>
      </c>
      <c r="B59" s="1200"/>
      <c r="C59" s="1148"/>
      <c r="D59" s="397">
        <f t="shared" ref="D59" si="12">SUM(D60:D63)</f>
        <v>13068</v>
      </c>
      <c r="E59" s="396">
        <f>SUM(E60:E63)</f>
        <v>13067.11</v>
      </c>
      <c r="F59" s="397">
        <v>13068</v>
      </c>
      <c r="G59" s="398">
        <f t="shared" ref="G59:H59" si="13">SUM(G60:G63)</f>
        <v>13672</v>
      </c>
      <c r="H59" s="399">
        <f t="shared" si="13"/>
        <v>0</v>
      </c>
      <c r="I59" s="960">
        <f>SUM(I60:I63)</f>
        <v>0</v>
      </c>
      <c r="J59" s="539">
        <f>I59/F59*100</f>
        <v>0</v>
      </c>
      <c r="K59" s="540">
        <f>I59/G59*100</f>
        <v>0</v>
      </c>
      <c r="L59" s="385"/>
      <c r="M59" s="385"/>
      <c r="N59" s="385"/>
      <c r="O59" s="385"/>
      <c r="P59" s="385"/>
      <c r="Q59" s="385"/>
    </row>
    <row r="60" spans="1:17" s="100" customFormat="1" ht="30" customHeight="1" x14ac:dyDescent="0.25">
      <c r="A60" s="507">
        <v>3114</v>
      </c>
      <c r="B60" s="1197" t="s">
        <v>116</v>
      </c>
      <c r="C60" s="1198"/>
      <c r="D60" s="403">
        <v>0</v>
      </c>
      <c r="E60" s="371">
        <v>419.44</v>
      </c>
      <c r="F60" s="403">
        <v>0</v>
      </c>
      <c r="G60" s="375">
        <v>0</v>
      </c>
      <c r="H60" s="404">
        <v>0</v>
      </c>
      <c r="I60" s="1019">
        <v>0</v>
      </c>
      <c r="J60" s="535" t="s">
        <v>58</v>
      </c>
      <c r="K60" s="536" t="s">
        <v>58</v>
      </c>
      <c r="L60" s="149"/>
      <c r="M60" s="149"/>
      <c r="N60" s="149"/>
      <c r="O60" s="149"/>
      <c r="P60" s="149"/>
      <c r="Q60" s="149"/>
    </row>
    <row r="61" spans="1:17" s="100" customFormat="1" ht="20.100000000000001" customHeight="1" x14ac:dyDescent="0.25">
      <c r="A61" s="529">
        <v>3122</v>
      </c>
      <c r="B61" s="1197" t="s">
        <v>108</v>
      </c>
      <c r="C61" s="1198"/>
      <c r="D61" s="372">
        <v>0</v>
      </c>
      <c r="E61" s="371">
        <v>3706.83</v>
      </c>
      <c r="F61" s="372">
        <v>0</v>
      </c>
      <c r="G61" s="375">
        <v>0</v>
      </c>
      <c r="H61" s="376">
        <v>0</v>
      </c>
      <c r="I61" s="1019">
        <v>0</v>
      </c>
      <c r="J61" s="535" t="s">
        <v>58</v>
      </c>
      <c r="K61" s="536" t="s">
        <v>58</v>
      </c>
      <c r="L61" s="149"/>
      <c r="M61" s="149"/>
      <c r="N61" s="149"/>
      <c r="O61" s="149"/>
      <c r="P61" s="149"/>
      <c r="Q61" s="149"/>
    </row>
    <row r="62" spans="1:17" s="100" customFormat="1" ht="30" customHeight="1" x14ac:dyDescent="0.25">
      <c r="A62" s="529">
        <v>3123</v>
      </c>
      <c r="B62" s="1197" t="s">
        <v>117</v>
      </c>
      <c r="C62" s="1198"/>
      <c r="D62" s="372">
        <v>0</v>
      </c>
      <c r="E62" s="371">
        <v>8940.84</v>
      </c>
      <c r="F62" s="372">
        <v>0</v>
      </c>
      <c r="G62" s="375">
        <v>0</v>
      </c>
      <c r="H62" s="376">
        <v>0</v>
      </c>
      <c r="I62" s="1019">
        <v>0</v>
      </c>
      <c r="J62" s="535" t="s">
        <v>58</v>
      </c>
      <c r="K62" s="536" t="s">
        <v>58</v>
      </c>
      <c r="L62" s="149"/>
      <c r="M62" s="149"/>
      <c r="N62" s="149"/>
      <c r="O62" s="149"/>
      <c r="P62" s="149"/>
      <c r="Q62" s="149"/>
    </row>
    <row r="63" spans="1:17" s="100" customFormat="1" ht="20.100000000000001" customHeight="1" x14ac:dyDescent="0.25">
      <c r="A63" s="529">
        <v>3269</v>
      </c>
      <c r="B63" s="1197" t="s">
        <v>120</v>
      </c>
      <c r="C63" s="1198"/>
      <c r="D63" s="372">
        <v>13068</v>
      </c>
      <c r="E63" s="371">
        <v>0</v>
      </c>
      <c r="F63" s="372">
        <v>13068</v>
      </c>
      <c r="G63" s="762">
        <v>13672</v>
      </c>
      <c r="H63" s="763">
        <v>0</v>
      </c>
      <c r="I63" s="1019">
        <v>0</v>
      </c>
      <c r="J63" s="535">
        <f>I63/F63*100</f>
        <v>0</v>
      </c>
      <c r="K63" s="536">
        <f t="shared" ref="K63:K78" si="14">I63/G63*100</f>
        <v>0</v>
      </c>
      <c r="L63" s="149"/>
      <c r="M63" s="149"/>
      <c r="N63" s="149"/>
      <c r="O63" s="149"/>
      <c r="P63" s="149"/>
      <c r="Q63" s="149"/>
    </row>
    <row r="64" spans="1:17" s="69" customFormat="1" ht="24" customHeight="1" x14ac:dyDescent="0.25">
      <c r="A64" s="1199" t="s">
        <v>130</v>
      </c>
      <c r="B64" s="1200"/>
      <c r="C64" s="1148"/>
      <c r="D64" s="388">
        <f t="shared" ref="D64" si="15">SUM(D65:D68)</f>
        <v>1500</v>
      </c>
      <c r="E64" s="387">
        <f>SUM(E65:E68)</f>
        <v>2892.56</v>
      </c>
      <c r="F64" s="388">
        <v>2000</v>
      </c>
      <c r="G64" s="394">
        <f t="shared" ref="G64:H64" si="16">SUM(G65:G68)</f>
        <v>3075.25</v>
      </c>
      <c r="H64" s="389">
        <f t="shared" si="16"/>
        <v>2857.73</v>
      </c>
      <c r="I64" s="960">
        <f>SUM(I65:I68)</f>
        <v>2000</v>
      </c>
      <c r="J64" s="541">
        <f>I64/F64*100</f>
        <v>100</v>
      </c>
      <c r="K64" s="542">
        <f t="shared" si="14"/>
        <v>65.035362978619631</v>
      </c>
      <c r="L64" s="385"/>
      <c r="M64" s="385"/>
      <c r="N64" s="385"/>
      <c r="O64" s="385"/>
      <c r="P64" s="385"/>
      <c r="Q64" s="385"/>
    </row>
    <row r="65" spans="1:17" s="100" customFormat="1" ht="20.100000000000001" customHeight="1" x14ac:dyDescent="0.25">
      <c r="A65" s="507">
        <v>3121</v>
      </c>
      <c r="B65" s="1197" t="s">
        <v>107</v>
      </c>
      <c r="C65" s="1198"/>
      <c r="D65" s="403">
        <v>0</v>
      </c>
      <c r="E65" s="371">
        <v>1161.46</v>
      </c>
      <c r="F65" s="403">
        <v>0</v>
      </c>
      <c r="G65" s="762">
        <v>1171.5</v>
      </c>
      <c r="H65" s="763">
        <v>1120.47</v>
      </c>
      <c r="I65" s="1019">
        <v>0</v>
      </c>
      <c r="J65" s="535" t="s">
        <v>58</v>
      </c>
      <c r="K65" s="536">
        <f t="shared" si="14"/>
        <v>0</v>
      </c>
      <c r="L65" s="149"/>
      <c r="M65" s="149"/>
      <c r="N65" s="149"/>
      <c r="O65" s="149"/>
      <c r="P65" s="149"/>
      <c r="Q65" s="149"/>
    </row>
    <row r="66" spans="1:17" s="100" customFormat="1" ht="20.100000000000001" customHeight="1" x14ac:dyDescent="0.25">
      <c r="A66" s="507">
        <v>3122</v>
      </c>
      <c r="B66" s="1197" t="s">
        <v>108</v>
      </c>
      <c r="C66" s="1198"/>
      <c r="D66" s="403">
        <v>0</v>
      </c>
      <c r="E66" s="371">
        <v>1177.3699999999999</v>
      </c>
      <c r="F66" s="403">
        <v>0</v>
      </c>
      <c r="G66" s="762">
        <v>1216</v>
      </c>
      <c r="H66" s="763">
        <v>1177.07</v>
      </c>
      <c r="I66" s="1019">
        <v>0</v>
      </c>
      <c r="J66" s="535" t="s">
        <v>58</v>
      </c>
      <c r="K66" s="536">
        <f t="shared" si="14"/>
        <v>0</v>
      </c>
      <c r="L66" s="149"/>
      <c r="M66" s="149"/>
      <c r="N66" s="149"/>
      <c r="O66" s="149"/>
      <c r="P66" s="149"/>
      <c r="Q66" s="149"/>
    </row>
    <row r="67" spans="1:17" s="100" customFormat="1" ht="30" customHeight="1" x14ac:dyDescent="0.25">
      <c r="A67" s="507">
        <v>3123</v>
      </c>
      <c r="B67" s="1197" t="s">
        <v>117</v>
      </c>
      <c r="C67" s="1198"/>
      <c r="D67" s="357">
        <v>0</v>
      </c>
      <c r="E67" s="115">
        <v>553.73</v>
      </c>
      <c r="F67" s="357">
        <v>0</v>
      </c>
      <c r="G67" s="761">
        <v>687.75</v>
      </c>
      <c r="H67" s="764">
        <v>560.19000000000005</v>
      </c>
      <c r="I67" s="1019">
        <v>0</v>
      </c>
      <c r="J67" s="535" t="s">
        <v>58</v>
      </c>
      <c r="K67" s="536">
        <f t="shared" si="14"/>
        <v>0</v>
      </c>
      <c r="L67" s="149"/>
      <c r="M67" s="149"/>
      <c r="N67" s="149"/>
      <c r="O67" s="149"/>
      <c r="P67" s="149"/>
      <c r="Q67" s="149"/>
    </row>
    <row r="68" spans="1:17" s="100" customFormat="1" ht="20.100000000000001" customHeight="1" x14ac:dyDescent="0.25">
      <c r="A68" s="507">
        <v>3291</v>
      </c>
      <c r="B68" s="1197" t="s">
        <v>264</v>
      </c>
      <c r="C68" s="1198"/>
      <c r="D68" s="357">
        <v>1500</v>
      </c>
      <c r="E68" s="115">
        <v>0</v>
      </c>
      <c r="F68" s="357">
        <v>2000</v>
      </c>
      <c r="G68" s="761">
        <v>0</v>
      </c>
      <c r="H68" s="764">
        <v>0</v>
      </c>
      <c r="I68" s="1019">
        <v>2000</v>
      </c>
      <c r="J68" s="535">
        <f>I68/F68*100</f>
        <v>100</v>
      </c>
      <c r="K68" s="536" t="s">
        <v>58</v>
      </c>
      <c r="L68" s="149"/>
      <c r="M68" s="149"/>
      <c r="N68" s="149"/>
      <c r="O68" s="149"/>
      <c r="P68" s="149"/>
      <c r="Q68" s="149"/>
    </row>
    <row r="69" spans="1:17" s="69" customFormat="1" ht="24" customHeight="1" x14ac:dyDescent="0.25">
      <c r="A69" s="1199" t="s">
        <v>131</v>
      </c>
      <c r="B69" s="1200"/>
      <c r="C69" s="1148"/>
      <c r="D69" s="388">
        <f t="shared" ref="D69" si="17">SUM(D70:D75)</f>
        <v>1515</v>
      </c>
      <c r="E69" s="387">
        <f t="shared" ref="E69:H69" si="18">SUM(E70:E75)</f>
        <v>1476.13</v>
      </c>
      <c r="F69" s="388">
        <v>3000</v>
      </c>
      <c r="G69" s="394">
        <f t="shared" si="18"/>
        <v>3000</v>
      </c>
      <c r="H69" s="389">
        <f t="shared" si="18"/>
        <v>2986.5500000000006</v>
      </c>
      <c r="I69" s="960">
        <f>SUM(I70:I75)</f>
        <v>3000</v>
      </c>
      <c r="J69" s="541">
        <f>I69/F69*100</f>
        <v>100</v>
      </c>
      <c r="K69" s="542">
        <f t="shared" si="14"/>
        <v>100</v>
      </c>
      <c r="L69" s="385"/>
      <c r="M69" s="385"/>
      <c r="N69" s="385"/>
      <c r="O69" s="385"/>
      <c r="P69" s="385"/>
      <c r="Q69" s="385"/>
    </row>
    <row r="70" spans="1:17" s="100" customFormat="1" ht="30" customHeight="1" x14ac:dyDescent="0.25">
      <c r="A70" s="507">
        <v>3114</v>
      </c>
      <c r="B70" s="1197" t="s">
        <v>116</v>
      </c>
      <c r="C70" s="1198"/>
      <c r="D70" s="403">
        <v>0</v>
      </c>
      <c r="E70" s="371">
        <v>169.18</v>
      </c>
      <c r="F70" s="403">
        <v>0</v>
      </c>
      <c r="G70" s="762">
        <v>297.38</v>
      </c>
      <c r="H70" s="762">
        <v>297.38</v>
      </c>
      <c r="I70" s="1019">
        <v>0</v>
      </c>
      <c r="J70" s="535" t="s">
        <v>58</v>
      </c>
      <c r="K70" s="536">
        <f t="shared" si="14"/>
        <v>0</v>
      </c>
      <c r="L70" s="149"/>
      <c r="M70" s="149"/>
      <c r="N70" s="149"/>
      <c r="O70" s="149"/>
      <c r="P70" s="149"/>
      <c r="Q70" s="149"/>
    </row>
    <row r="71" spans="1:17" s="100" customFormat="1" ht="20.100000000000001" customHeight="1" x14ac:dyDescent="0.25">
      <c r="A71" s="507">
        <v>3121</v>
      </c>
      <c r="B71" s="1197" t="s">
        <v>107</v>
      </c>
      <c r="C71" s="1198"/>
      <c r="D71" s="403">
        <v>0</v>
      </c>
      <c r="E71" s="371">
        <v>416.2</v>
      </c>
      <c r="F71" s="403">
        <v>0</v>
      </c>
      <c r="G71" s="762">
        <v>1003.02</v>
      </c>
      <c r="H71" s="762">
        <v>1003.02</v>
      </c>
      <c r="I71" s="1019">
        <v>0</v>
      </c>
      <c r="J71" s="535" t="s">
        <v>58</v>
      </c>
      <c r="K71" s="536">
        <f t="shared" si="14"/>
        <v>0</v>
      </c>
      <c r="L71" s="149"/>
      <c r="M71" s="149"/>
      <c r="N71" s="149"/>
      <c r="O71" s="149"/>
      <c r="P71" s="149"/>
      <c r="Q71" s="149"/>
    </row>
    <row r="72" spans="1:17" s="100" customFormat="1" ht="20.100000000000001" customHeight="1" x14ac:dyDescent="0.25">
      <c r="A72" s="507">
        <v>3122</v>
      </c>
      <c r="B72" s="1197" t="s">
        <v>108</v>
      </c>
      <c r="C72" s="1198"/>
      <c r="D72" s="403">
        <v>0</v>
      </c>
      <c r="E72" s="371">
        <v>435.9</v>
      </c>
      <c r="F72" s="403">
        <v>0</v>
      </c>
      <c r="G72" s="762">
        <v>906.05</v>
      </c>
      <c r="H72" s="762">
        <v>905.95</v>
      </c>
      <c r="I72" s="1019">
        <v>0</v>
      </c>
      <c r="J72" s="535" t="s">
        <v>58</v>
      </c>
      <c r="K72" s="536">
        <f t="shared" si="14"/>
        <v>0</v>
      </c>
      <c r="L72" s="149"/>
      <c r="M72" s="149"/>
      <c r="N72" s="149"/>
      <c r="O72" s="149"/>
      <c r="P72" s="149"/>
      <c r="Q72" s="149"/>
    </row>
    <row r="73" spans="1:17" s="100" customFormat="1" ht="30" customHeight="1" x14ac:dyDescent="0.25">
      <c r="A73" s="507">
        <v>3123</v>
      </c>
      <c r="B73" s="1197" t="s">
        <v>117</v>
      </c>
      <c r="C73" s="1198"/>
      <c r="D73" s="403">
        <v>0</v>
      </c>
      <c r="E73" s="371">
        <v>412.35</v>
      </c>
      <c r="F73" s="403">
        <v>0</v>
      </c>
      <c r="G73" s="762">
        <v>734.9</v>
      </c>
      <c r="H73" s="762">
        <v>734.9</v>
      </c>
      <c r="I73" s="1019">
        <v>0</v>
      </c>
      <c r="J73" s="535" t="s">
        <v>58</v>
      </c>
      <c r="K73" s="536">
        <f t="shared" si="14"/>
        <v>0</v>
      </c>
      <c r="L73" s="149"/>
      <c r="M73" s="149"/>
      <c r="N73" s="149"/>
      <c r="O73" s="149"/>
      <c r="P73" s="149"/>
      <c r="Q73" s="149"/>
    </row>
    <row r="74" spans="1:17" s="100" customFormat="1" ht="20.100000000000001" customHeight="1" x14ac:dyDescent="0.25">
      <c r="A74" s="507">
        <v>3133</v>
      </c>
      <c r="B74" s="1197" t="s">
        <v>109</v>
      </c>
      <c r="C74" s="1198"/>
      <c r="D74" s="403">
        <v>0</v>
      </c>
      <c r="E74" s="371">
        <v>29.5</v>
      </c>
      <c r="F74" s="403">
        <v>0</v>
      </c>
      <c r="G74" s="762">
        <v>45.3</v>
      </c>
      <c r="H74" s="762">
        <v>45.3</v>
      </c>
      <c r="I74" s="1019">
        <v>0</v>
      </c>
      <c r="J74" s="535" t="s">
        <v>58</v>
      </c>
      <c r="K74" s="536">
        <f t="shared" si="14"/>
        <v>0</v>
      </c>
      <c r="L74" s="149"/>
      <c r="M74" s="149"/>
      <c r="N74" s="149"/>
      <c r="O74" s="149"/>
      <c r="P74" s="149"/>
      <c r="Q74" s="149"/>
    </row>
    <row r="75" spans="1:17" s="100" customFormat="1" ht="30" customHeight="1" x14ac:dyDescent="0.25">
      <c r="A75" s="507">
        <v>3541</v>
      </c>
      <c r="B75" s="1197" t="s">
        <v>265</v>
      </c>
      <c r="C75" s="1198"/>
      <c r="D75" s="403">
        <v>1515</v>
      </c>
      <c r="E75" s="371">
        <v>13</v>
      </c>
      <c r="F75" s="403">
        <v>3000</v>
      </c>
      <c r="G75" s="762">
        <v>13.35</v>
      </c>
      <c r="H75" s="763">
        <v>0</v>
      </c>
      <c r="I75" s="1019">
        <v>3000</v>
      </c>
      <c r="J75" s="535">
        <f t="shared" ref="J75:J89" si="19">I75/F75*100</f>
        <v>100</v>
      </c>
      <c r="K75" s="536">
        <f t="shared" si="14"/>
        <v>22471.910112359554</v>
      </c>
      <c r="L75" s="149"/>
      <c r="M75" s="149"/>
      <c r="N75" s="149"/>
      <c r="O75" s="149"/>
      <c r="P75" s="149"/>
      <c r="Q75" s="149"/>
    </row>
    <row r="76" spans="1:17" s="69" customFormat="1" ht="24" customHeight="1" x14ac:dyDescent="0.25">
      <c r="A76" s="405" t="s">
        <v>355</v>
      </c>
      <c r="B76" s="525"/>
      <c r="C76" s="568"/>
      <c r="D76" s="388">
        <f t="shared" ref="D76" si="20">SUM(D78:D86)</f>
        <v>28451</v>
      </c>
      <c r="E76" s="387">
        <f>SUM(E78:E86)</f>
        <v>38134.86</v>
      </c>
      <c r="F76" s="388">
        <f>SUM(F77:F87)</f>
        <v>28451</v>
      </c>
      <c r="G76" s="394">
        <f t="shared" ref="G76:I76" si="21">SUM(G77:G87)</f>
        <v>45363.460000000006</v>
      </c>
      <c r="H76" s="389">
        <f t="shared" si="21"/>
        <v>35111.65</v>
      </c>
      <c r="I76" s="960">
        <f t="shared" si="21"/>
        <v>1180810</v>
      </c>
      <c r="J76" s="541">
        <f t="shared" si="19"/>
        <v>4150.3286351973575</v>
      </c>
      <c r="K76" s="542">
        <f t="shared" si="14"/>
        <v>2602.99809582426</v>
      </c>
      <c r="L76" s="385"/>
      <c r="M76" s="385"/>
      <c r="N76" s="385"/>
      <c r="O76" s="385"/>
      <c r="P76" s="385"/>
      <c r="Q76" s="385"/>
    </row>
    <row r="77" spans="1:17" s="100" customFormat="1" ht="30" customHeight="1" x14ac:dyDescent="0.25">
      <c r="A77" s="507">
        <v>3112</v>
      </c>
      <c r="B77" s="1197" t="s">
        <v>115</v>
      </c>
      <c r="C77" s="1198"/>
      <c r="D77" s="357">
        <v>0</v>
      </c>
      <c r="E77" s="115">
        <v>0</v>
      </c>
      <c r="F77" s="357">
        <v>0</v>
      </c>
      <c r="G77" s="113">
        <v>0</v>
      </c>
      <c r="H77" s="756">
        <v>0</v>
      </c>
      <c r="I77" s="1019">
        <v>4963</v>
      </c>
      <c r="J77" s="535" t="s">
        <v>58</v>
      </c>
      <c r="K77" s="536" t="s">
        <v>58</v>
      </c>
      <c r="L77" s="149"/>
      <c r="M77" s="149"/>
      <c r="N77" s="149"/>
      <c r="O77" s="149"/>
      <c r="P77" s="149"/>
      <c r="Q77" s="149"/>
    </row>
    <row r="78" spans="1:17" s="100" customFormat="1" ht="30" customHeight="1" x14ac:dyDescent="0.25">
      <c r="A78" s="507">
        <v>3114</v>
      </c>
      <c r="B78" s="1197" t="s">
        <v>116</v>
      </c>
      <c r="C78" s="1198"/>
      <c r="D78" s="357">
        <v>0</v>
      </c>
      <c r="E78" s="115">
        <v>92</v>
      </c>
      <c r="F78" s="357">
        <v>0</v>
      </c>
      <c r="G78" s="113">
        <v>2037.63</v>
      </c>
      <c r="H78" s="756">
        <v>1215.24</v>
      </c>
      <c r="I78" s="1019">
        <v>109961</v>
      </c>
      <c r="J78" s="535" t="s">
        <v>58</v>
      </c>
      <c r="K78" s="536">
        <f t="shared" si="14"/>
        <v>5396.5145782109603</v>
      </c>
      <c r="L78" s="149"/>
      <c r="M78" s="149"/>
      <c r="N78" s="149"/>
      <c r="O78" s="149"/>
      <c r="P78" s="149"/>
      <c r="Q78" s="149"/>
    </row>
    <row r="79" spans="1:17" s="100" customFormat="1" ht="20.100000000000001" customHeight="1" x14ac:dyDescent="0.25">
      <c r="A79" s="507">
        <v>3121</v>
      </c>
      <c r="B79" s="1197" t="s">
        <v>107</v>
      </c>
      <c r="C79" s="1198"/>
      <c r="D79" s="357">
        <v>1100</v>
      </c>
      <c r="E79" s="115">
        <v>2195.0500000000002</v>
      </c>
      <c r="F79" s="357">
        <v>1100</v>
      </c>
      <c r="G79" s="113">
        <v>1960.01</v>
      </c>
      <c r="H79" s="113">
        <v>1197.71</v>
      </c>
      <c r="I79" s="1019">
        <v>167120</v>
      </c>
      <c r="J79" s="535">
        <f t="shared" si="19"/>
        <v>15192.727272727274</v>
      </c>
      <c r="K79" s="536">
        <f t="shared" ref="K79:K112" si="22">I79/G79*100</f>
        <v>8526.4871097596442</v>
      </c>
      <c r="L79" s="149"/>
      <c r="M79" s="149"/>
      <c r="N79" s="149"/>
      <c r="O79" s="149"/>
      <c r="P79" s="149"/>
      <c r="Q79" s="149"/>
    </row>
    <row r="80" spans="1:17" s="100" customFormat="1" ht="20.100000000000001" customHeight="1" x14ac:dyDescent="0.25">
      <c r="A80" s="507">
        <v>3122</v>
      </c>
      <c r="B80" s="1197" t="s">
        <v>108</v>
      </c>
      <c r="C80" s="1198"/>
      <c r="D80" s="357">
        <v>1959</v>
      </c>
      <c r="E80" s="115">
        <v>12433.09</v>
      </c>
      <c r="F80" s="357">
        <v>1959</v>
      </c>
      <c r="G80" s="113">
        <v>13280.06</v>
      </c>
      <c r="H80" s="113">
        <v>8523.85</v>
      </c>
      <c r="I80" s="1019">
        <v>360606</v>
      </c>
      <c r="J80" s="535">
        <f t="shared" si="19"/>
        <v>18407.656967840732</v>
      </c>
      <c r="K80" s="536">
        <f t="shared" si="22"/>
        <v>2715.3943581580206</v>
      </c>
      <c r="L80" s="149"/>
      <c r="M80" s="149"/>
      <c r="N80" s="149"/>
      <c r="O80" s="149"/>
      <c r="P80" s="149"/>
      <c r="Q80" s="149"/>
    </row>
    <row r="81" spans="1:18" s="100" customFormat="1" ht="30" customHeight="1" x14ac:dyDescent="0.25">
      <c r="A81" s="507">
        <v>3123</v>
      </c>
      <c r="B81" s="1197" t="s">
        <v>117</v>
      </c>
      <c r="C81" s="1198"/>
      <c r="D81" s="357">
        <v>3300</v>
      </c>
      <c r="E81" s="115">
        <v>3054.4</v>
      </c>
      <c r="F81" s="357">
        <v>3300</v>
      </c>
      <c r="G81" s="113">
        <v>1529.5</v>
      </c>
      <c r="H81" s="113">
        <v>1394.5</v>
      </c>
      <c r="I81" s="1019">
        <v>363332</v>
      </c>
      <c r="J81" s="535">
        <f t="shared" si="19"/>
        <v>11010.060606060606</v>
      </c>
      <c r="K81" s="536">
        <f t="shared" si="22"/>
        <v>23754.952598888525</v>
      </c>
      <c r="L81" s="149"/>
      <c r="M81" s="149"/>
      <c r="N81" s="149"/>
      <c r="O81" s="149"/>
      <c r="P81" s="149"/>
      <c r="Q81" s="149"/>
    </row>
    <row r="82" spans="1:18" s="100" customFormat="1" ht="20.100000000000001" customHeight="1" x14ac:dyDescent="0.25">
      <c r="A82" s="507">
        <v>3133</v>
      </c>
      <c r="B82" s="1197" t="s">
        <v>109</v>
      </c>
      <c r="C82" s="1198"/>
      <c r="D82" s="357">
        <v>0</v>
      </c>
      <c r="E82" s="115">
        <v>526.32000000000005</v>
      </c>
      <c r="F82" s="357">
        <v>0</v>
      </c>
      <c r="G82" s="113">
        <v>2184.59</v>
      </c>
      <c r="H82" s="756">
        <v>1780.19</v>
      </c>
      <c r="I82" s="1019">
        <v>73970</v>
      </c>
      <c r="J82" s="535" t="s">
        <v>58</v>
      </c>
      <c r="K82" s="536">
        <f t="shared" si="22"/>
        <v>3385.990048475915</v>
      </c>
      <c r="L82" s="149"/>
      <c r="M82" s="149"/>
      <c r="N82" s="149"/>
      <c r="O82" s="149"/>
      <c r="P82" s="149"/>
      <c r="Q82" s="149"/>
    </row>
    <row r="83" spans="1:18" s="100" customFormat="1" ht="20.100000000000001" customHeight="1" x14ac:dyDescent="0.25">
      <c r="A83" s="507">
        <v>3146</v>
      </c>
      <c r="B83" s="1197" t="s">
        <v>118</v>
      </c>
      <c r="C83" s="1198"/>
      <c r="D83" s="357">
        <v>0</v>
      </c>
      <c r="E83" s="115">
        <v>0</v>
      </c>
      <c r="F83" s="357">
        <v>0</v>
      </c>
      <c r="G83" s="113">
        <v>3071.51</v>
      </c>
      <c r="H83" s="756">
        <v>0</v>
      </c>
      <c r="I83" s="1019">
        <v>21048</v>
      </c>
      <c r="J83" s="535" t="s">
        <v>58</v>
      </c>
      <c r="K83" s="536">
        <f t="shared" si="22"/>
        <v>685.26555342486267</v>
      </c>
      <c r="L83" s="149"/>
      <c r="M83" s="149"/>
      <c r="N83" s="149"/>
      <c r="O83" s="149"/>
      <c r="P83" s="149"/>
      <c r="Q83" s="149"/>
    </row>
    <row r="84" spans="1:18" s="100" customFormat="1" ht="20.100000000000001" customHeight="1" x14ac:dyDescent="0.25">
      <c r="A84" s="507">
        <v>3231</v>
      </c>
      <c r="B84" s="1197" t="s">
        <v>119</v>
      </c>
      <c r="C84" s="1198"/>
      <c r="D84" s="357">
        <v>0</v>
      </c>
      <c r="E84" s="115">
        <v>0</v>
      </c>
      <c r="F84" s="357">
        <v>0</v>
      </c>
      <c r="G84" s="113">
        <v>0</v>
      </c>
      <c r="H84" s="756">
        <v>0</v>
      </c>
      <c r="I84" s="1019">
        <v>13588</v>
      </c>
      <c r="J84" s="535" t="s">
        <v>58</v>
      </c>
      <c r="K84" s="536" t="s">
        <v>58</v>
      </c>
      <c r="L84" s="149"/>
      <c r="M84" s="149"/>
      <c r="N84" s="149"/>
      <c r="O84" s="149"/>
      <c r="P84" s="149"/>
      <c r="Q84" s="149"/>
    </row>
    <row r="85" spans="1:18" s="100" customFormat="1" ht="20.100000000000001" customHeight="1" x14ac:dyDescent="0.25">
      <c r="A85" s="507" t="s">
        <v>127</v>
      </c>
      <c r="B85" s="1197" t="s">
        <v>120</v>
      </c>
      <c r="C85" s="1198"/>
      <c r="D85" s="357">
        <v>2258</v>
      </c>
      <c r="E85" s="115">
        <v>0</v>
      </c>
      <c r="F85" s="357">
        <v>2258</v>
      </c>
      <c r="G85" s="113">
        <v>0</v>
      </c>
      <c r="H85" s="756">
        <v>0</v>
      </c>
      <c r="I85" s="1019">
        <v>7751</v>
      </c>
      <c r="J85" s="535">
        <f t="shared" si="19"/>
        <v>343.26837909654563</v>
      </c>
      <c r="K85" s="536" t="s">
        <v>58</v>
      </c>
      <c r="L85" s="149"/>
      <c r="M85" s="149"/>
      <c r="N85" s="149"/>
      <c r="O85" s="149"/>
      <c r="P85" s="149"/>
      <c r="Q85" s="149"/>
    </row>
    <row r="86" spans="1:18" s="100" customFormat="1" ht="30" customHeight="1" x14ac:dyDescent="0.25">
      <c r="A86" s="530" t="s">
        <v>121</v>
      </c>
      <c r="B86" s="1197" t="s">
        <v>122</v>
      </c>
      <c r="C86" s="1198"/>
      <c r="D86" s="357">
        <v>19834</v>
      </c>
      <c r="E86" s="115">
        <v>19834</v>
      </c>
      <c r="F86" s="357">
        <v>19834</v>
      </c>
      <c r="G86" s="113">
        <v>21300.16</v>
      </c>
      <c r="H86" s="113">
        <v>21000.16</v>
      </c>
      <c r="I86" s="1019">
        <v>20400</v>
      </c>
      <c r="J86" s="535">
        <f t="shared" si="19"/>
        <v>102.85368559040032</v>
      </c>
      <c r="K86" s="536">
        <f t="shared" si="22"/>
        <v>95.77392845875336</v>
      </c>
      <c r="L86" s="149"/>
      <c r="M86" s="149"/>
      <c r="N86" s="149"/>
      <c r="O86" s="149"/>
      <c r="P86" s="149"/>
      <c r="Q86" s="149"/>
    </row>
    <row r="87" spans="1:18" s="100" customFormat="1" ht="20.100000000000001" customHeight="1" x14ac:dyDescent="0.25">
      <c r="A87" s="530">
        <v>3421</v>
      </c>
      <c r="B87" s="1197" t="s">
        <v>123</v>
      </c>
      <c r="C87" s="1198"/>
      <c r="D87" s="357">
        <v>0</v>
      </c>
      <c r="E87" s="115">
        <v>0</v>
      </c>
      <c r="F87" s="357">
        <v>0</v>
      </c>
      <c r="G87" s="113">
        <v>0</v>
      </c>
      <c r="H87" s="756">
        <v>0</v>
      </c>
      <c r="I87" s="1019">
        <v>38071</v>
      </c>
      <c r="J87" s="535" t="s">
        <v>58</v>
      </c>
      <c r="K87" s="536" t="s">
        <v>58</v>
      </c>
      <c r="L87" s="149"/>
      <c r="M87" s="149"/>
      <c r="N87" s="149"/>
      <c r="O87" s="149"/>
      <c r="P87" s="149"/>
      <c r="Q87" s="149"/>
    </row>
    <row r="88" spans="1:18" ht="15" customHeight="1" x14ac:dyDescent="0.25">
      <c r="A88" s="571" t="s">
        <v>92</v>
      </c>
      <c r="B88" s="1209" t="s">
        <v>346</v>
      </c>
      <c r="C88" s="1210"/>
      <c r="D88" s="358">
        <v>28451</v>
      </c>
      <c r="E88" s="96">
        <f>+E76</f>
        <v>38134.86</v>
      </c>
      <c r="F88" s="358">
        <v>28451</v>
      </c>
      <c r="G88" s="80">
        <v>45363.46</v>
      </c>
      <c r="H88" s="94">
        <v>35111.65</v>
      </c>
      <c r="I88" s="957">
        <v>1180810</v>
      </c>
      <c r="J88" s="537">
        <f t="shared" si="19"/>
        <v>4150.3286351973575</v>
      </c>
      <c r="K88" s="538">
        <f t="shared" si="22"/>
        <v>2602.9980958242604</v>
      </c>
      <c r="L88" s="85"/>
      <c r="M88" s="85"/>
      <c r="N88" s="85"/>
      <c r="O88" s="85"/>
      <c r="P88" s="85"/>
      <c r="Q88" s="85"/>
    </row>
    <row r="89" spans="1:18" s="68" customFormat="1" ht="20.100000000000001" customHeight="1" x14ac:dyDescent="0.25">
      <c r="A89" s="1211" t="s">
        <v>182</v>
      </c>
      <c r="B89" s="1212"/>
      <c r="C89" s="1183"/>
      <c r="D89" s="388">
        <f t="shared" ref="D89" si="23">SUM(D90:D96)</f>
        <v>135000</v>
      </c>
      <c r="E89" s="387">
        <f>SUM(E90:E96)</f>
        <v>75856.789999999994</v>
      </c>
      <c r="F89" s="388">
        <v>135500</v>
      </c>
      <c r="G89" s="394">
        <f t="shared" ref="G89:H89" si="24">SUM(G90:G96)</f>
        <v>94812.19</v>
      </c>
      <c r="H89" s="389">
        <f t="shared" si="24"/>
        <v>85479.200000000012</v>
      </c>
      <c r="I89" s="960">
        <f>SUM(I90:I96)</f>
        <v>151500</v>
      </c>
      <c r="J89" s="539">
        <f t="shared" si="19"/>
        <v>111.80811808118081</v>
      </c>
      <c r="K89" s="542">
        <f t="shared" si="22"/>
        <v>159.78957979981266</v>
      </c>
      <c r="L89" s="402"/>
      <c r="M89" s="402"/>
      <c r="N89" s="402"/>
      <c r="O89" s="402"/>
      <c r="P89" s="402"/>
      <c r="Q89" s="402"/>
    </row>
    <row r="90" spans="1:18" s="100" customFormat="1" ht="30" customHeight="1" x14ac:dyDescent="0.25">
      <c r="A90" s="507">
        <v>3114</v>
      </c>
      <c r="B90" s="1197" t="s">
        <v>116</v>
      </c>
      <c r="C90" s="1198"/>
      <c r="D90" s="357">
        <v>0</v>
      </c>
      <c r="E90" s="115">
        <v>6968.99</v>
      </c>
      <c r="F90" s="357">
        <v>0</v>
      </c>
      <c r="G90" s="761">
        <v>4671.97</v>
      </c>
      <c r="H90" s="761">
        <v>4671.97</v>
      </c>
      <c r="I90" s="1019">
        <v>0</v>
      </c>
      <c r="J90" s="535" t="s">
        <v>58</v>
      </c>
      <c r="K90" s="536">
        <f t="shared" ref="K90:K93" si="25">I90/G90*100</f>
        <v>0</v>
      </c>
      <c r="L90" s="149"/>
      <c r="M90" s="149"/>
      <c r="N90" s="149"/>
      <c r="O90" s="149"/>
      <c r="P90" s="149"/>
      <c r="Q90" s="149"/>
    </row>
    <row r="91" spans="1:18" s="150" customFormat="1" ht="20.100000000000001" customHeight="1" x14ac:dyDescent="0.25">
      <c r="A91" s="507">
        <v>3121</v>
      </c>
      <c r="B91" s="1197" t="s">
        <v>107</v>
      </c>
      <c r="C91" s="1198"/>
      <c r="D91" s="372">
        <v>0</v>
      </c>
      <c r="E91" s="371">
        <v>20151.93</v>
      </c>
      <c r="F91" s="372">
        <v>0</v>
      </c>
      <c r="G91" s="762">
        <v>24316.55</v>
      </c>
      <c r="H91" s="762">
        <v>24076.55</v>
      </c>
      <c r="I91" s="1019">
        <v>0</v>
      </c>
      <c r="J91" s="535" t="s">
        <v>58</v>
      </c>
      <c r="K91" s="536">
        <f t="shared" si="25"/>
        <v>0</v>
      </c>
      <c r="L91" s="313"/>
      <c r="M91" s="313"/>
      <c r="N91" s="313"/>
      <c r="O91" s="313"/>
      <c r="P91" s="313"/>
      <c r="Q91" s="313"/>
    </row>
    <row r="92" spans="1:18" s="150" customFormat="1" ht="20.100000000000001" customHeight="1" x14ac:dyDescent="0.25">
      <c r="A92" s="507">
        <v>3122</v>
      </c>
      <c r="B92" s="1197" t="s">
        <v>108</v>
      </c>
      <c r="C92" s="1198"/>
      <c r="D92" s="372">
        <v>0</v>
      </c>
      <c r="E92" s="371">
        <v>23202.86</v>
      </c>
      <c r="F92" s="372">
        <v>0</v>
      </c>
      <c r="G92" s="762">
        <v>43450.080000000002</v>
      </c>
      <c r="H92" s="762">
        <v>43302.25</v>
      </c>
      <c r="I92" s="1019">
        <v>0</v>
      </c>
      <c r="J92" s="535" t="s">
        <v>58</v>
      </c>
      <c r="K92" s="536">
        <f t="shared" si="25"/>
        <v>0</v>
      </c>
      <c r="L92" s="313"/>
      <c r="M92" s="313"/>
      <c r="N92" s="313"/>
      <c r="O92" s="313"/>
      <c r="P92" s="313"/>
      <c r="Q92" s="313"/>
    </row>
    <row r="93" spans="1:18" s="150" customFormat="1" ht="30" customHeight="1" x14ac:dyDescent="0.25">
      <c r="A93" s="507">
        <v>3123</v>
      </c>
      <c r="B93" s="1197" t="s">
        <v>117</v>
      </c>
      <c r="C93" s="1198"/>
      <c r="D93" s="372">
        <v>0</v>
      </c>
      <c r="E93" s="371">
        <v>18863.599999999999</v>
      </c>
      <c r="F93" s="372">
        <v>0</v>
      </c>
      <c r="G93" s="762">
        <v>13570.38</v>
      </c>
      <c r="H93" s="762">
        <v>13428.43</v>
      </c>
      <c r="I93" s="1019">
        <v>0</v>
      </c>
      <c r="J93" s="535" t="s">
        <v>58</v>
      </c>
      <c r="K93" s="536">
        <f t="shared" si="25"/>
        <v>0</v>
      </c>
      <c r="L93" s="313"/>
      <c r="M93" s="313"/>
      <c r="N93" s="313"/>
      <c r="O93" s="313"/>
      <c r="P93" s="313"/>
      <c r="Q93" s="313"/>
    </row>
    <row r="94" spans="1:18" ht="20.100000000000001" customHeight="1" x14ac:dyDescent="0.25">
      <c r="A94" s="507">
        <v>3133</v>
      </c>
      <c r="B94" s="1197" t="s">
        <v>109</v>
      </c>
      <c r="C94" s="1198"/>
      <c r="D94" s="357">
        <v>0</v>
      </c>
      <c r="E94" s="115">
        <v>15</v>
      </c>
      <c r="F94" s="357">
        <v>0</v>
      </c>
      <c r="G94" s="761">
        <v>15</v>
      </c>
      <c r="H94" s="761">
        <v>0</v>
      </c>
      <c r="I94" s="1019">
        <v>0</v>
      </c>
      <c r="J94" s="535" t="s">
        <v>58</v>
      </c>
      <c r="K94" s="536" t="s">
        <v>58</v>
      </c>
      <c r="L94" s="84"/>
      <c r="M94" s="84"/>
      <c r="N94" s="85"/>
      <c r="O94" s="85"/>
      <c r="P94" s="85"/>
      <c r="Q94" s="85"/>
      <c r="R94" s="85"/>
    </row>
    <row r="95" spans="1:18" s="150" customFormat="1" ht="20.100000000000001" customHeight="1" x14ac:dyDescent="0.25">
      <c r="A95" s="507" t="s">
        <v>127</v>
      </c>
      <c r="B95" s="1197" t="s">
        <v>120</v>
      </c>
      <c r="C95" s="1198"/>
      <c r="D95" s="372">
        <v>135000</v>
      </c>
      <c r="E95" s="371">
        <v>6595.12</v>
      </c>
      <c r="F95" s="372">
        <v>135500</v>
      </c>
      <c r="G95" s="762">
        <v>8758.2099999999991</v>
      </c>
      <c r="H95" s="762">
        <v>0</v>
      </c>
      <c r="I95" s="1019">
        <v>151500</v>
      </c>
      <c r="J95" s="535">
        <f>I95/F95*100</f>
        <v>111.80811808118081</v>
      </c>
      <c r="K95" s="536">
        <f t="shared" si="22"/>
        <v>1729.8055196210184</v>
      </c>
      <c r="L95" s="313"/>
      <c r="M95" s="313"/>
      <c r="N95" s="313"/>
      <c r="O95" s="313"/>
      <c r="P95" s="313"/>
      <c r="Q95" s="313"/>
    </row>
    <row r="96" spans="1:18" s="100" customFormat="1" ht="20.100000000000001" customHeight="1" x14ac:dyDescent="0.25">
      <c r="A96" s="531">
        <v>3421</v>
      </c>
      <c r="B96" s="1197" t="s">
        <v>123</v>
      </c>
      <c r="C96" s="1198"/>
      <c r="D96" s="372">
        <v>0</v>
      </c>
      <c r="E96" s="371">
        <v>59.29</v>
      </c>
      <c r="F96" s="372">
        <v>0</v>
      </c>
      <c r="G96" s="373">
        <v>30</v>
      </c>
      <c r="H96" s="374">
        <v>0</v>
      </c>
      <c r="I96" s="1019">
        <v>0</v>
      </c>
      <c r="J96" s="535" t="s">
        <v>58</v>
      </c>
      <c r="K96" s="536" t="s">
        <v>58</v>
      </c>
      <c r="L96" s="149"/>
      <c r="M96" s="149"/>
      <c r="N96" s="149"/>
      <c r="O96" s="149"/>
      <c r="P96" s="149"/>
      <c r="Q96" s="149"/>
    </row>
    <row r="97" spans="1:17" s="68" customFormat="1" ht="20.100000000000001" customHeight="1" x14ac:dyDescent="0.25">
      <c r="A97" s="1211" t="s">
        <v>266</v>
      </c>
      <c r="B97" s="1212"/>
      <c r="C97" s="1183"/>
      <c r="D97" s="388">
        <f t="shared" ref="D97" si="26">SUM(D98:D104)</f>
        <v>4600</v>
      </c>
      <c r="E97" s="387">
        <f t="shared" ref="E97:H97" si="27">SUM(E98:E104)</f>
        <v>4102.1499999999996</v>
      </c>
      <c r="F97" s="388">
        <v>4600</v>
      </c>
      <c r="G97" s="394">
        <f t="shared" si="27"/>
        <v>5281.19</v>
      </c>
      <c r="H97" s="389">
        <f t="shared" si="27"/>
        <v>2880.7</v>
      </c>
      <c r="I97" s="960">
        <f>SUM(I98:I104)</f>
        <v>4900</v>
      </c>
      <c r="J97" s="539">
        <f>I97/F97*100</f>
        <v>106.5217391304348</v>
      </c>
      <c r="K97" s="542">
        <f t="shared" si="22"/>
        <v>92.782119181472368</v>
      </c>
      <c r="L97" s="402"/>
      <c r="M97" s="402"/>
      <c r="N97" s="402"/>
      <c r="O97" s="402"/>
      <c r="P97" s="402"/>
      <c r="Q97" s="402"/>
    </row>
    <row r="98" spans="1:17" s="100" customFormat="1" ht="20.100000000000001" customHeight="1" x14ac:dyDescent="0.25">
      <c r="A98" s="507">
        <v>3113</v>
      </c>
      <c r="B98" s="1197" t="s">
        <v>267</v>
      </c>
      <c r="C98" s="1198"/>
      <c r="D98" s="357">
        <v>0</v>
      </c>
      <c r="E98" s="115">
        <v>436.38</v>
      </c>
      <c r="F98" s="357">
        <v>0</v>
      </c>
      <c r="G98" s="113">
        <v>439.1</v>
      </c>
      <c r="H98" s="756">
        <v>369.39</v>
      </c>
      <c r="I98" s="1019">
        <v>0</v>
      </c>
      <c r="J98" s="535" t="s">
        <v>58</v>
      </c>
      <c r="K98" s="536">
        <f t="shared" si="22"/>
        <v>0</v>
      </c>
      <c r="L98" s="149"/>
      <c r="M98" s="149"/>
      <c r="N98" s="149"/>
      <c r="O98" s="149"/>
      <c r="P98" s="149"/>
      <c r="Q98" s="149"/>
    </row>
    <row r="99" spans="1:17" s="100" customFormat="1" ht="20.100000000000001" customHeight="1" x14ac:dyDescent="0.25">
      <c r="A99" s="507">
        <v>3121</v>
      </c>
      <c r="B99" s="1197" t="s">
        <v>107</v>
      </c>
      <c r="C99" s="1198"/>
      <c r="D99" s="357">
        <v>0</v>
      </c>
      <c r="E99" s="115">
        <v>586.80999999999995</v>
      </c>
      <c r="F99" s="357">
        <v>0</v>
      </c>
      <c r="G99" s="113">
        <v>697.66</v>
      </c>
      <c r="H99" s="756">
        <v>629.59</v>
      </c>
      <c r="I99" s="1019">
        <v>0</v>
      </c>
      <c r="J99" s="535" t="s">
        <v>58</v>
      </c>
      <c r="K99" s="536">
        <f t="shared" si="22"/>
        <v>0</v>
      </c>
      <c r="L99" s="149"/>
      <c r="M99" s="149"/>
      <c r="N99" s="149"/>
      <c r="O99" s="149"/>
      <c r="P99" s="149"/>
      <c r="Q99" s="149"/>
    </row>
    <row r="100" spans="1:17" s="100" customFormat="1" ht="20.100000000000001" customHeight="1" x14ac:dyDescent="0.25">
      <c r="A100" s="507">
        <v>3122</v>
      </c>
      <c r="B100" s="1197" t="s">
        <v>108</v>
      </c>
      <c r="C100" s="1198"/>
      <c r="D100" s="357">
        <v>0</v>
      </c>
      <c r="E100" s="115">
        <v>130.76</v>
      </c>
      <c r="F100" s="357">
        <v>0</v>
      </c>
      <c r="G100" s="113">
        <v>180.05</v>
      </c>
      <c r="H100" s="756">
        <v>176.15</v>
      </c>
      <c r="I100" s="1019">
        <v>0</v>
      </c>
      <c r="J100" s="535" t="s">
        <v>58</v>
      </c>
      <c r="K100" s="536">
        <f t="shared" si="22"/>
        <v>0</v>
      </c>
      <c r="L100" s="149"/>
      <c r="M100" s="149"/>
      <c r="N100" s="149"/>
      <c r="O100" s="149"/>
      <c r="P100" s="149"/>
      <c r="Q100" s="149"/>
    </row>
    <row r="101" spans="1:17" s="100" customFormat="1" ht="29.25" customHeight="1" x14ac:dyDescent="0.25">
      <c r="A101" s="507">
        <v>3123</v>
      </c>
      <c r="B101" s="1197" t="s">
        <v>117</v>
      </c>
      <c r="C101" s="1198"/>
      <c r="D101" s="357">
        <v>0</v>
      </c>
      <c r="E101" s="115">
        <v>65</v>
      </c>
      <c r="F101" s="357">
        <v>0</v>
      </c>
      <c r="G101" s="113">
        <v>0</v>
      </c>
      <c r="H101" s="756">
        <v>0</v>
      </c>
      <c r="I101" s="1019">
        <v>0</v>
      </c>
      <c r="J101" s="535" t="s">
        <v>58</v>
      </c>
      <c r="K101" s="536" t="s">
        <v>58</v>
      </c>
      <c r="L101" s="149"/>
      <c r="M101" s="149"/>
      <c r="N101" s="149"/>
      <c r="O101" s="149"/>
      <c r="P101" s="149"/>
      <c r="Q101" s="149"/>
    </row>
    <row r="102" spans="1:17" s="100" customFormat="1" ht="20.100000000000001" customHeight="1" x14ac:dyDescent="0.25">
      <c r="A102" s="507">
        <v>3239</v>
      </c>
      <c r="B102" s="1197" t="s">
        <v>451</v>
      </c>
      <c r="C102" s="1198"/>
      <c r="D102" s="357">
        <v>0</v>
      </c>
      <c r="E102" s="115">
        <v>49.8</v>
      </c>
      <c r="F102" s="357">
        <v>0</v>
      </c>
      <c r="G102" s="113">
        <v>24.8</v>
      </c>
      <c r="H102" s="756">
        <v>24.8</v>
      </c>
      <c r="I102" s="1019">
        <v>0</v>
      </c>
      <c r="J102" s="535" t="s">
        <v>58</v>
      </c>
      <c r="K102" s="536">
        <f t="shared" si="22"/>
        <v>0</v>
      </c>
      <c r="L102" s="149"/>
      <c r="M102" s="149"/>
      <c r="N102" s="149"/>
      <c r="O102" s="149"/>
      <c r="P102" s="149"/>
      <c r="Q102" s="149"/>
    </row>
    <row r="103" spans="1:17" s="100" customFormat="1" ht="20.100000000000001" customHeight="1" x14ac:dyDescent="0.25">
      <c r="A103" s="507">
        <v>3419</v>
      </c>
      <c r="B103" s="1197" t="s">
        <v>268</v>
      </c>
      <c r="C103" s="1198"/>
      <c r="D103" s="357">
        <v>4600</v>
      </c>
      <c r="E103" s="115">
        <v>1541.34</v>
      </c>
      <c r="F103" s="357">
        <v>4600</v>
      </c>
      <c r="G103" s="113">
        <v>2938.91</v>
      </c>
      <c r="H103" s="756">
        <v>687.11</v>
      </c>
      <c r="I103" s="1019">
        <v>4900</v>
      </c>
      <c r="J103" s="535">
        <f>I103/F103*100</f>
        <v>106.5217391304348</v>
      </c>
      <c r="K103" s="536">
        <f t="shared" si="22"/>
        <v>166.72848096743351</v>
      </c>
      <c r="L103" s="149"/>
      <c r="M103" s="149"/>
      <c r="N103" s="149"/>
      <c r="O103" s="149"/>
      <c r="P103" s="149"/>
      <c r="Q103" s="149"/>
    </row>
    <row r="104" spans="1:17" s="100" customFormat="1" ht="20.100000000000001" customHeight="1" x14ac:dyDescent="0.25">
      <c r="A104" s="507">
        <v>3421</v>
      </c>
      <c r="B104" s="1197" t="s">
        <v>123</v>
      </c>
      <c r="C104" s="1198"/>
      <c r="D104" s="357">
        <v>0</v>
      </c>
      <c r="E104" s="115">
        <v>1292.06</v>
      </c>
      <c r="F104" s="357">
        <v>0</v>
      </c>
      <c r="G104" s="113">
        <v>1000.67</v>
      </c>
      <c r="H104" s="756">
        <v>993.66</v>
      </c>
      <c r="I104" s="1019">
        <v>0</v>
      </c>
      <c r="J104" s="535" t="s">
        <v>58</v>
      </c>
      <c r="K104" s="536">
        <f t="shared" si="22"/>
        <v>0</v>
      </c>
      <c r="L104" s="149"/>
      <c r="M104" s="149"/>
      <c r="N104" s="149"/>
      <c r="O104" s="149"/>
      <c r="P104" s="149"/>
      <c r="Q104" s="149"/>
    </row>
    <row r="105" spans="1:17" s="69" customFormat="1" ht="23.25" customHeight="1" x14ac:dyDescent="0.25">
      <c r="A105" s="428">
        <v>3111</v>
      </c>
      <c r="B105" s="1147" t="s">
        <v>478</v>
      </c>
      <c r="C105" s="1148"/>
      <c r="D105" s="397">
        <v>0</v>
      </c>
      <c r="E105" s="396">
        <v>340.59</v>
      </c>
      <c r="F105" s="397">
        <v>0</v>
      </c>
      <c r="G105" s="398">
        <v>0</v>
      </c>
      <c r="H105" s="488">
        <v>0</v>
      </c>
      <c r="I105" s="960">
        <v>0</v>
      </c>
      <c r="J105" s="539" t="s">
        <v>58</v>
      </c>
      <c r="K105" s="542" t="s">
        <v>58</v>
      </c>
      <c r="L105" s="385"/>
      <c r="M105" s="385"/>
      <c r="N105" s="385"/>
      <c r="O105" s="385"/>
      <c r="P105" s="385"/>
      <c r="Q105" s="385"/>
    </row>
    <row r="106" spans="1:17" s="69" customFormat="1" ht="23.25" customHeight="1" x14ac:dyDescent="0.25">
      <c r="A106" s="428">
        <v>3113</v>
      </c>
      <c r="B106" s="1147" t="s">
        <v>479</v>
      </c>
      <c r="C106" s="1148"/>
      <c r="D106" s="397">
        <v>0</v>
      </c>
      <c r="E106" s="396">
        <v>277.77999999999997</v>
      </c>
      <c r="F106" s="397">
        <v>0</v>
      </c>
      <c r="G106" s="398">
        <v>0</v>
      </c>
      <c r="H106" s="488">
        <v>0</v>
      </c>
      <c r="I106" s="960">
        <v>0</v>
      </c>
      <c r="J106" s="539" t="s">
        <v>58</v>
      </c>
      <c r="K106" s="542" t="s">
        <v>58</v>
      </c>
      <c r="L106" s="385"/>
      <c r="M106" s="385"/>
      <c r="N106" s="385"/>
      <c r="O106" s="385"/>
      <c r="P106" s="385"/>
      <c r="Q106" s="385"/>
    </row>
    <row r="107" spans="1:17" s="69" customFormat="1" ht="20.100000000000001" customHeight="1" x14ac:dyDescent="0.25">
      <c r="A107" s="428">
        <v>3123</v>
      </c>
      <c r="B107" s="1147" t="s">
        <v>349</v>
      </c>
      <c r="C107" s="1148"/>
      <c r="D107" s="397">
        <v>12000</v>
      </c>
      <c r="E107" s="396">
        <v>0</v>
      </c>
      <c r="F107" s="397">
        <v>12000</v>
      </c>
      <c r="G107" s="474">
        <v>0</v>
      </c>
      <c r="H107" s="765">
        <v>0</v>
      </c>
      <c r="I107" s="956">
        <v>12000</v>
      </c>
      <c r="J107" s="539">
        <f>I107/F107*100</f>
        <v>100</v>
      </c>
      <c r="K107" s="542" t="s">
        <v>58</v>
      </c>
      <c r="L107" s="385"/>
      <c r="M107" s="385"/>
      <c r="N107" s="385"/>
      <c r="O107" s="385"/>
      <c r="P107" s="385"/>
      <c r="Q107" s="385"/>
    </row>
    <row r="108" spans="1:17" s="69" customFormat="1" ht="20.100000000000001" customHeight="1" x14ac:dyDescent="0.25">
      <c r="A108" s="428">
        <v>3231</v>
      </c>
      <c r="B108" s="1147" t="s">
        <v>365</v>
      </c>
      <c r="C108" s="1148"/>
      <c r="D108" s="397">
        <v>200</v>
      </c>
      <c r="E108" s="396">
        <v>200</v>
      </c>
      <c r="F108" s="397">
        <v>200</v>
      </c>
      <c r="G108" s="467">
        <v>200</v>
      </c>
      <c r="H108" s="767">
        <v>200</v>
      </c>
      <c r="I108" s="956">
        <v>200</v>
      </c>
      <c r="J108" s="539">
        <f>I108/F108*100</f>
        <v>100</v>
      </c>
      <c r="K108" s="542">
        <f t="shared" si="22"/>
        <v>100</v>
      </c>
      <c r="L108" s="385"/>
      <c r="M108" s="385"/>
      <c r="N108" s="385"/>
      <c r="O108" s="385"/>
      <c r="P108" s="385"/>
      <c r="Q108" s="385"/>
    </row>
    <row r="109" spans="1:17" s="89" customFormat="1" ht="20.100000000000001" customHeight="1" x14ac:dyDescent="0.25">
      <c r="A109" s="428">
        <v>3269</v>
      </c>
      <c r="B109" s="1147" t="s">
        <v>120</v>
      </c>
      <c r="C109" s="1148"/>
      <c r="D109" s="766">
        <v>0</v>
      </c>
      <c r="E109" s="396">
        <v>1557.17</v>
      </c>
      <c r="F109" s="766">
        <v>0</v>
      </c>
      <c r="G109" s="474">
        <v>2323.0699999999997</v>
      </c>
      <c r="H109" s="765">
        <v>1591.53</v>
      </c>
      <c r="I109" s="956">
        <v>0</v>
      </c>
      <c r="J109" s="539" t="s">
        <v>58</v>
      </c>
      <c r="K109" s="542">
        <f t="shared" si="22"/>
        <v>0</v>
      </c>
      <c r="L109" s="528"/>
      <c r="M109" s="528"/>
      <c r="N109" s="528"/>
      <c r="O109" s="528"/>
      <c r="P109" s="528"/>
      <c r="Q109" s="528"/>
    </row>
    <row r="110" spans="1:17" s="69" customFormat="1" ht="30" customHeight="1" x14ac:dyDescent="0.25">
      <c r="A110" s="428">
        <v>3269</v>
      </c>
      <c r="B110" s="1188" t="s">
        <v>418</v>
      </c>
      <c r="C110" s="1189"/>
      <c r="D110" s="768">
        <v>20000</v>
      </c>
      <c r="E110" s="770">
        <v>858.49</v>
      </c>
      <c r="F110" s="768">
        <v>20000</v>
      </c>
      <c r="G110" s="467">
        <v>32206.53</v>
      </c>
      <c r="H110" s="769">
        <v>0</v>
      </c>
      <c r="I110" s="956">
        <v>20000</v>
      </c>
      <c r="J110" s="539">
        <f t="shared" ref="J110:J111" si="28">I110/F110*100</f>
        <v>100</v>
      </c>
      <c r="K110" s="542">
        <f t="shared" si="22"/>
        <v>62.099207831455303</v>
      </c>
      <c r="L110" s="385"/>
      <c r="M110" s="385"/>
      <c r="N110" s="385"/>
      <c r="O110" s="385"/>
      <c r="P110" s="385"/>
      <c r="Q110" s="385"/>
    </row>
    <row r="111" spans="1:17" s="69" customFormat="1" ht="20.100000000000001" customHeight="1" x14ac:dyDescent="0.25">
      <c r="A111" s="428">
        <v>3419</v>
      </c>
      <c r="B111" s="1147" t="s">
        <v>129</v>
      </c>
      <c r="C111" s="1148"/>
      <c r="D111" s="397">
        <v>37510</v>
      </c>
      <c r="E111" s="396">
        <v>37510</v>
      </c>
      <c r="F111" s="397">
        <v>37510</v>
      </c>
      <c r="G111" s="474">
        <v>38942</v>
      </c>
      <c r="H111" s="765">
        <v>38942</v>
      </c>
      <c r="I111" s="956">
        <v>38942</v>
      </c>
      <c r="J111" s="539">
        <f t="shared" si="28"/>
        <v>103.8176486270328</v>
      </c>
      <c r="K111" s="542">
        <f t="shared" si="22"/>
        <v>100</v>
      </c>
      <c r="L111" s="385"/>
      <c r="M111" s="385"/>
      <c r="N111" s="385"/>
      <c r="O111" s="385"/>
      <c r="P111" s="385"/>
      <c r="Q111" s="385"/>
    </row>
    <row r="112" spans="1:17" s="69" customFormat="1" ht="20.100000000000001" customHeight="1" thickBot="1" x14ac:dyDescent="0.3">
      <c r="A112" s="428">
        <v>3419</v>
      </c>
      <c r="B112" s="1147" t="s">
        <v>269</v>
      </c>
      <c r="C112" s="1148"/>
      <c r="D112" s="397">
        <v>2500</v>
      </c>
      <c r="E112" s="396">
        <v>3197.06</v>
      </c>
      <c r="F112" s="397">
        <v>2500</v>
      </c>
      <c r="G112" s="474">
        <v>2500</v>
      </c>
      <c r="H112" s="765">
        <v>1284.07</v>
      </c>
      <c r="I112" s="956">
        <v>2500</v>
      </c>
      <c r="J112" s="539">
        <f>I112/F112*100</f>
        <v>100</v>
      </c>
      <c r="K112" s="542">
        <f t="shared" si="22"/>
        <v>100</v>
      </c>
      <c r="L112" s="385"/>
      <c r="M112" s="385"/>
      <c r="N112" s="385"/>
      <c r="O112" s="385"/>
      <c r="P112" s="385"/>
      <c r="Q112" s="385"/>
    </row>
    <row r="113" spans="1:11" s="89" customFormat="1" ht="20.100000000000001" customHeight="1" thickBot="1" x14ac:dyDescent="0.3">
      <c r="A113" s="169"/>
      <c r="B113" s="170" t="s">
        <v>82</v>
      </c>
      <c r="C113" s="545"/>
      <c r="D113" s="169">
        <f>+D9+D24+D37+D48+D59+D64+D69+D76+D89+D97+SUM(D107:D112)</f>
        <v>1170643</v>
      </c>
      <c r="E113" s="170">
        <f>+E9+E24+E37+E48+E59+E64+E69+E76+E89+E97+SUM(E105:E112)</f>
        <v>997965.77999999991</v>
      </c>
      <c r="F113" s="169">
        <f>+F9+F24+F37+F48+F59+F64+F69+F76+F89+F97+SUM(F105:F112)</f>
        <v>1121143</v>
      </c>
      <c r="G113" s="171">
        <f>+G9+G24+G37+G48+G59+G64+G69+G76+G89+G97+SUM(G105:G112)</f>
        <v>1144401.8499999999</v>
      </c>
      <c r="H113" s="170">
        <f>+H9+H24+H37+H48+H59+H64+H69+H76+H89+H97+SUM(H105:H112)</f>
        <v>790165.08</v>
      </c>
      <c r="I113" s="959">
        <f>+I9+I24+I37+I48+I59+I64+I69+I76+I89+I97+SUM(I105:I112)</f>
        <v>2299302</v>
      </c>
      <c r="J113" s="543">
        <f>I113/F113*100</f>
        <v>205.08552432651319</v>
      </c>
      <c r="K113" s="544">
        <f>I113/G113*100</f>
        <v>200.91736132722963</v>
      </c>
    </row>
    <row r="115" spans="1:11" x14ac:dyDescent="0.25">
      <c r="D115" s="138"/>
      <c r="F115" s="138"/>
      <c r="I115" s="138"/>
    </row>
    <row r="116" spans="1:11" x14ac:dyDescent="0.25">
      <c r="D116" s="138"/>
      <c r="F116" s="138"/>
      <c r="I116" s="138"/>
      <c r="J116" s="908"/>
    </row>
    <row r="119" spans="1:11" ht="14.4" x14ac:dyDescent="0.25">
      <c r="A119" s="951"/>
    </row>
    <row r="120" spans="1:11" ht="14.4" x14ac:dyDescent="0.25">
      <c r="A120" s="950"/>
    </row>
    <row r="121" spans="1:11" x14ac:dyDescent="0.25">
      <c r="A121" s="945"/>
    </row>
    <row r="122" spans="1:11" x14ac:dyDescent="0.25">
      <c r="A122" s="946"/>
    </row>
    <row r="123" spans="1:11" x14ac:dyDescent="0.25">
      <c r="A123" s="946"/>
    </row>
    <row r="124" spans="1:11" x14ac:dyDescent="0.25">
      <c r="A124" s="945"/>
    </row>
    <row r="125" spans="1:11" x14ac:dyDescent="0.25">
      <c r="A125" s="946"/>
    </row>
  </sheetData>
  <mergeCells count="112">
    <mergeCell ref="B112:C112"/>
    <mergeCell ref="B111:C111"/>
    <mergeCell ref="B102:C102"/>
    <mergeCell ref="B101:C101"/>
    <mergeCell ref="B110:C110"/>
    <mergeCell ref="B108:C108"/>
    <mergeCell ref="B109:C109"/>
    <mergeCell ref="B107:C107"/>
    <mergeCell ref="B103:C103"/>
    <mergeCell ref="B105:C105"/>
    <mergeCell ref="B104:C104"/>
    <mergeCell ref="B71:C71"/>
    <mergeCell ref="B72:C72"/>
    <mergeCell ref="B80:C80"/>
    <mergeCell ref="B70:C70"/>
    <mergeCell ref="A69:C69"/>
    <mergeCell ref="B79:C79"/>
    <mergeCell ref="B81:C81"/>
    <mergeCell ref="B106:C106"/>
    <mergeCell ref="A89:C89"/>
    <mergeCell ref="B90:C90"/>
    <mergeCell ref="B93:C93"/>
    <mergeCell ref="B95:C95"/>
    <mergeCell ref="B98:C98"/>
    <mergeCell ref="B99:C99"/>
    <mergeCell ref="B100:C100"/>
    <mergeCell ref="A97:C97"/>
    <mergeCell ref="B96:C96"/>
    <mergeCell ref="B94:C94"/>
    <mergeCell ref="B75:C75"/>
    <mergeCell ref="B73:C73"/>
    <mergeCell ref="B83:C83"/>
    <mergeCell ref="B77:C77"/>
    <mergeCell ref="B84:C84"/>
    <mergeCell ref="B87:C87"/>
    <mergeCell ref="B86:C86"/>
    <mergeCell ref="B85:C85"/>
    <mergeCell ref="B78:C78"/>
    <mergeCell ref="B82:C82"/>
    <mergeCell ref="B74:C74"/>
    <mergeCell ref="B88:C88"/>
    <mergeCell ref="B91:C91"/>
    <mergeCell ref="B92:C92"/>
    <mergeCell ref="B28:C28"/>
    <mergeCell ref="B29:C29"/>
    <mergeCell ref="B32:C32"/>
    <mergeCell ref="B34:C34"/>
    <mergeCell ref="B33:C33"/>
    <mergeCell ref="B68:C68"/>
    <mergeCell ref="B63:C63"/>
    <mergeCell ref="B60:C60"/>
    <mergeCell ref="B53:C53"/>
    <mergeCell ref="B67:C67"/>
    <mergeCell ref="B62:C62"/>
    <mergeCell ref="B66:C66"/>
    <mergeCell ref="B57:C57"/>
    <mergeCell ref="B56:C56"/>
    <mergeCell ref="B43:C43"/>
    <mergeCell ref="B41:C41"/>
    <mergeCell ref="B26:C26"/>
    <mergeCell ref="B27:C27"/>
    <mergeCell ref="B10:C10"/>
    <mergeCell ref="I6:I7"/>
    <mergeCell ref="B18:C18"/>
    <mergeCell ref="B16:C16"/>
    <mergeCell ref="B11:C11"/>
    <mergeCell ref="B17:C17"/>
    <mergeCell ref="B19:C19"/>
    <mergeCell ref="A24:C24"/>
    <mergeCell ref="B25:C25"/>
    <mergeCell ref="A2:K2"/>
    <mergeCell ref="A6:A7"/>
    <mergeCell ref="D6:E6"/>
    <mergeCell ref="F6:H6"/>
    <mergeCell ref="J6:J7"/>
    <mergeCell ref="K6:K7"/>
    <mergeCell ref="B6:C7"/>
    <mergeCell ref="B22:C22"/>
    <mergeCell ref="A22:A23"/>
    <mergeCell ref="B23:C23"/>
    <mergeCell ref="A9:C9"/>
    <mergeCell ref="B20:C20"/>
    <mergeCell ref="B21:C21"/>
    <mergeCell ref="B12:C12"/>
    <mergeCell ref="B13:C13"/>
    <mergeCell ref="B14:C14"/>
    <mergeCell ref="B15:C15"/>
    <mergeCell ref="B61:C61"/>
    <mergeCell ref="B45:C45"/>
    <mergeCell ref="B46:C46"/>
    <mergeCell ref="B65:C65"/>
    <mergeCell ref="A64:C64"/>
    <mergeCell ref="B35:C35"/>
    <mergeCell ref="A37:C37"/>
    <mergeCell ref="B38:C38"/>
    <mergeCell ref="A48:C48"/>
    <mergeCell ref="A59:C59"/>
    <mergeCell ref="B54:C54"/>
    <mergeCell ref="B36:C36"/>
    <mergeCell ref="B51:C51"/>
    <mergeCell ref="B52:C52"/>
    <mergeCell ref="B55:C55"/>
    <mergeCell ref="B58:C58"/>
    <mergeCell ref="B30:C30"/>
    <mergeCell ref="B31:C31"/>
    <mergeCell ref="B39:C39"/>
    <mergeCell ref="B40:C40"/>
    <mergeCell ref="B44:C44"/>
    <mergeCell ref="B42:C42"/>
    <mergeCell ref="B47:C47"/>
    <mergeCell ref="B49:C49"/>
    <mergeCell ref="B50:C50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56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F81"/>
  <sheetViews>
    <sheetView workbookViewId="0">
      <selection activeCell="C1" sqref="C1"/>
    </sheetView>
  </sheetViews>
  <sheetFormatPr defaultColWidth="9.109375" defaultRowHeight="13.8" x14ac:dyDescent="0.25"/>
  <cols>
    <col min="1" max="1" width="8.109375" style="66" customWidth="1"/>
    <col min="2" max="2" width="6.6640625" style="66" customWidth="1"/>
    <col min="3" max="3" width="40.6640625" style="66" customWidth="1"/>
    <col min="4" max="4" width="14.6640625" style="71" customWidth="1"/>
    <col min="5" max="5" width="14.6640625" style="138" customWidth="1"/>
    <col min="6" max="6" width="14.6640625" style="71" customWidth="1"/>
    <col min="7" max="7" width="16.5546875" style="138" customWidth="1"/>
    <col min="8" max="8" width="14.6640625" style="138" customWidth="1"/>
    <col min="9" max="9" width="14.6640625" style="584" customWidth="1"/>
    <col min="10" max="11" width="9.6640625" style="139" customWidth="1"/>
    <col min="12" max="16384" width="9.109375" style="66"/>
  </cols>
  <sheetData>
    <row r="1" spans="1:11" ht="15" customHeight="1" x14ac:dyDescent="0.25">
      <c r="C1" s="66" t="s">
        <v>574</v>
      </c>
      <c r="K1" s="140"/>
    </row>
    <row r="2" spans="1:11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</row>
    <row r="3" spans="1:11" ht="15" customHeight="1" x14ac:dyDescent="0.25"/>
    <row r="4" spans="1:11" ht="20.100000000000001" customHeight="1" x14ac:dyDescent="0.25">
      <c r="A4" s="67" t="s">
        <v>185</v>
      </c>
      <c r="G4" s="1225"/>
      <c r="H4" s="1225"/>
      <c r="J4" s="302"/>
    </row>
    <row r="5" spans="1:11" ht="15" customHeight="1" thickBot="1" x14ac:dyDescent="0.3">
      <c r="A5" s="67"/>
      <c r="K5" s="302" t="s">
        <v>0</v>
      </c>
    </row>
    <row r="6" spans="1:11" s="142" customFormat="1" ht="15.9" customHeight="1" x14ac:dyDescent="0.25">
      <c r="A6" s="1159" t="s">
        <v>85</v>
      </c>
      <c r="B6" s="1165" t="s">
        <v>97</v>
      </c>
      <c r="C6" s="1166"/>
      <c r="D6" s="1060" t="s">
        <v>402</v>
      </c>
      <c r="E6" s="1061"/>
      <c r="F6" s="1060" t="s">
        <v>450</v>
      </c>
      <c r="G6" s="1064"/>
      <c r="H6" s="1061"/>
      <c r="I6" s="1169" t="s">
        <v>507</v>
      </c>
      <c r="J6" s="1161" t="s">
        <v>508</v>
      </c>
      <c r="K6" s="1163" t="s">
        <v>509</v>
      </c>
    </row>
    <row r="7" spans="1:11" s="142" customFormat="1" ht="30.9" customHeight="1" thickBot="1" x14ac:dyDescent="0.3">
      <c r="A7" s="1160"/>
      <c r="B7" s="1167"/>
      <c r="C7" s="1168"/>
      <c r="D7" s="236" t="s">
        <v>103</v>
      </c>
      <c r="E7" s="835" t="s">
        <v>520</v>
      </c>
      <c r="F7" s="236" t="s">
        <v>103</v>
      </c>
      <c r="G7" s="237" t="s">
        <v>556</v>
      </c>
      <c r="H7" s="238" t="s">
        <v>555</v>
      </c>
      <c r="I7" s="1170"/>
      <c r="J7" s="1162"/>
      <c r="K7" s="1164"/>
    </row>
    <row r="8" spans="1:11" s="68" customFormat="1" ht="20.100000000000001" customHeight="1" thickBot="1" x14ac:dyDescent="0.3">
      <c r="B8" s="303" t="s">
        <v>98</v>
      </c>
      <c r="C8" s="303"/>
      <c r="D8" s="304"/>
      <c r="E8" s="305"/>
      <c r="F8" s="304"/>
      <c r="G8" s="146"/>
      <c r="H8" s="146"/>
      <c r="I8" s="734"/>
      <c r="J8" s="589"/>
      <c r="K8" s="589"/>
    </row>
    <row r="9" spans="1:11" s="68" customFormat="1" ht="45.75" customHeight="1" x14ac:dyDescent="0.25">
      <c r="A9" s="430">
        <v>2143</v>
      </c>
      <c r="B9" s="1155" t="s">
        <v>535</v>
      </c>
      <c r="C9" s="1156"/>
      <c r="D9" s="412">
        <v>9600</v>
      </c>
      <c r="E9" s="487">
        <v>9404.7999999999993</v>
      </c>
      <c r="F9" s="412">
        <v>9600</v>
      </c>
      <c r="G9" s="494">
        <v>9330</v>
      </c>
      <c r="H9" s="381">
        <v>9330</v>
      </c>
      <c r="I9" s="955">
        <v>10800</v>
      </c>
      <c r="J9" s="382">
        <f t="shared" ref="J9:J29" si="0">I9/F9*100</f>
        <v>112.5</v>
      </c>
      <c r="K9" s="383">
        <f t="shared" ref="K9:K28" si="1">I9/G9*100</f>
        <v>115.7556270096463</v>
      </c>
    </row>
    <row r="10" spans="1:11" s="68" customFormat="1" ht="20.100000000000001" customHeight="1" x14ac:dyDescent="0.25">
      <c r="A10" s="564">
        <v>2143</v>
      </c>
      <c r="B10" s="1147" t="s">
        <v>351</v>
      </c>
      <c r="C10" s="1148"/>
      <c r="D10" s="450">
        <v>1130</v>
      </c>
      <c r="E10" s="484">
        <v>1167.5</v>
      </c>
      <c r="F10" s="450">
        <v>1130</v>
      </c>
      <c r="G10" s="495">
        <v>1130</v>
      </c>
      <c r="H10" s="391">
        <v>1130</v>
      </c>
      <c r="I10" s="956">
        <v>1180</v>
      </c>
      <c r="J10" s="392">
        <f t="shared" si="0"/>
        <v>104.42477876106196</v>
      </c>
      <c r="K10" s="393">
        <f t="shared" si="1"/>
        <v>104.42477876106196</v>
      </c>
    </row>
    <row r="11" spans="1:11" s="68" customFormat="1" ht="30" customHeight="1" x14ac:dyDescent="0.25">
      <c r="A11" s="423">
        <v>2143</v>
      </c>
      <c r="B11" s="1223" t="s">
        <v>563</v>
      </c>
      <c r="C11" s="1224"/>
      <c r="D11" s="450">
        <v>700</v>
      </c>
      <c r="E11" s="488">
        <v>599</v>
      </c>
      <c r="F11" s="450">
        <v>700</v>
      </c>
      <c r="G11" s="495">
        <v>599</v>
      </c>
      <c r="H11" s="484">
        <v>599</v>
      </c>
      <c r="I11" s="956">
        <v>700</v>
      </c>
      <c r="J11" s="392">
        <f t="shared" si="0"/>
        <v>100</v>
      </c>
      <c r="K11" s="393">
        <f t="shared" si="1"/>
        <v>116.86143572621035</v>
      </c>
    </row>
    <row r="12" spans="1:11" s="68" customFormat="1" ht="20.100000000000001" customHeight="1" x14ac:dyDescent="0.25">
      <c r="A12" s="428">
        <v>2143</v>
      </c>
      <c r="B12" s="1149" t="s">
        <v>287</v>
      </c>
      <c r="C12" s="1150"/>
      <c r="D12" s="450">
        <v>206</v>
      </c>
      <c r="E12" s="488">
        <v>205.7</v>
      </c>
      <c r="F12" s="450">
        <v>206</v>
      </c>
      <c r="G12" s="452">
        <v>206</v>
      </c>
      <c r="H12" s="488">
        <v>0</v>
      </c>
      <c r="I12" s="956">
        <v>206</v>
      </c>
      <c r="J12" s="392">
        <f t="shared" si="0"/>
        <v>100</v>
      </c>
      <c r="K12" s="393">
        <f t="shared" si="1"/>
        <v>100</v>
      </c>
    </row>
    <row r="13" spans="1:11" s="68" customFormat="1" ht="20.100000000000001" customHeight="1" x14ac:dyDescent="0.25">
      <c r="A13" s="428">
        <v>2143</v>
      </c>
      <c r="B13" s="1149" t="s">
        <v>175</v>
      </c>
      <c r="C13" s="1150"/>
      <c r="D13" s="450">
        <v>1050</v>
      </c>
      <c r="E13" s="488">
        <v>2100</v>
      </c>
      <c r="F13" s="450">
        <v>1050</v>
      </c>
      <c r="G13" s="452">
        <v>1050</v>
      </c>
      <c r="H13" s="488">
        <v>0</v>
      </c>
      <c r="I13" s="956">
        <v>1050</v>
      </c>
      <c r="J13" s="392">
        <f t="shared" si="0"/>
        <v>100</v>
      </c>
      <c r="K13" s="393">
        <f t="shared" si="1"/>
        <v>100</v>
      </c>
    </row>
    <row r="14" spans="1:11" s="68" customFormat="1" ht="20.100000000000001" customHeight="1" x14ac:dyDescent="0.25">
      <c r="A14" s="428">
        <v>2143</v>
      </c>
      <c r="B14" s="1149" t="s">
        <v>352</v>
      </c>
      <c r="C14" s="1150"/>
      <c r="D14" s="450">
        <v>2000</v>
      </c>
      <c r="E14" s="488">
        <v>2000</v>
      </c>
      <c r="F14" s="450">
        <v>2000</v>
      </c>
      <c r="G14" s="452">
        <v>2000</v>
      </c>
      <c r="H14" s="488">
        <v>0</v>
      </c>
      <c r="I14" s="956">
        <v>2000</v>
      </c>
      <c r="J14" s="392">
        <f t="shared" si="0"/>
        <v>100</v>
      </c>
      <c r="K14" s="393">
        <f t="shared" si="1"/>
        <v>100</v>
      </c>
    </row>
    <row r="15" spans="1:11" s="68" customFormat="1" ht="30" customHeight="1" x14ac:dyDescent="0.25">
      <c r="A15" s="1153">
        <v>2143</v>
      </c>
      <c r="B15" s="1149" t="s">
        <v>366</v>
      </c>
      <c r="C15" s="1150"/>
      <c r="D15" s="450">
        <f>SUM(D16:D20)</f>
        <v>43677</v>
      </c>
      <c r="E15" s="488">
        <f t="shared" ref="E15:I15" si="2">SUM(E16:E20)</f>
        <v>46584</v>
      </c>
      <c r="F15" s="450">
        <f t="shared" si="2"/>
        <v>43797</v>
      </c>
      <c r="G15" s="452">
        <f t="shared" si="2"/>
        <v>45034.09</v>
      </c>
      <c r="H15" s="488">
        <f t="shared" si="2"/>
        <v>34876.35</v>
      </c>
      <c r="I15" s="956">
        <f t="shared" si="2"/>
        <v>44262</v>
      </c>
      <c r="J15" s="392">
        <f t="shared" si="0"/>
        <v>101.06171655592848</v>
      </c>
      <c r="K15" s="393">
        <f t="shared" si="1"/>
        <v>98.285543240687232</v>
      </c>
    </row>
    <row r="16" spans="1:11" s="68" customFormat="1" ht="15" customHeight="1" x14ac:dyDescent="0.25">
      <c r="A16" s="1154"/>
      <c r="B16" s="1226" t="s">
        <v>92</v>
      </c>
      <c r="C16" s="565" t="s">
        <v>124</v>
      </c>
      <c r="D16" s="82">
        <v>12706</v>
      </c>
      <c r="E16" s="119">
        <v>14158</v>
      </c>
      <c r="F16" s="82">
        <v>12706</v>
      </c>
      <c r="G16" s="356">
        <v>13356</v>
      </c>
      <c r="H16" s="119">
        <v>10179.5</v>
      </c>
      <c r="I16" s="957">
        <v>12806</v>
      </c>
      <c r="J16" s="77">
        <f>I16/F16*100</f>
        <v>100.78702974972454</v>
      </c>
      <c r="K16" s="78">
        <f>I16/G16*100</f>
        <v>95.882000598981733</v>
      </c>
    </row>
    <row r="17" spans="1:240" s="68" customFormat="1" ht="15" customHeight="1" x14ac:dyDescent="0.25">
      <c r="A17" s="1154"/>
      <c r="B17" s="1227"/>
      <c r="C17" s="565" t="s">
        <v>346</v>
      </c>
      <c r="D17" s="82">
        <v>20488</v>
      </c>
      <c r="E17" s="119">
        <v>20943</v>
      </c>
      <c r="F17" s="82">
        <v>20608</v>
      </c>
      <c r="G17" s="356">
        <v>21195.09</v>
      </c>
      <c r="H17" s="119">
        <v>15973</v>
      </c>
      <c r="I17" s="957">
        <v>21125</v>
      </c>
      <c r="J17" s="77">
        <f>I17/F17*100</f>
        <v>102.5087344720497</v>
      </c>
      <c r="K17" s="78">
        <f>I17/G17*100</f>
        <v>99.669310203448063</v>
      </c>
    </row>
    <row r="18" spans="1:240" s="68" customFormat="1" ht="15" customHeight="1" x14ac:dyDescent="0.25">
      <c r="A18" s="1154"/>
      <c r="B18" s="1227"/>
      <c r="C18" s="565" t="s">
        <v>125</v>
      </c>
      <c r="D18" s="82">
        <v>622</v>
      </c>
      <c r="E18" s="119">
        <v>622</v>
      </c>
      <c r="F18" s="82">
        <v>622</v>
      </c>
      <c r="G18" s="356">
        <v>622</v>
      </c>
      <c r="H18" s="119">
        <v>466.5</v>
      </c>
      <c r="I18" s="957">
        <v>622</v>
      </c>
      <c r="J18" s="77">
        <f>I18/F18*100</f>
        <v>100</v>
      </c>
      <c r="K18" s="78">
        <f>I18/G18*100</f>
        <v>100</v>
      </c>
    </row>
    <row r="19" spans="1:240" s="68" customFormat="1" ht="15" customHeight="1" x14ac:dyDescent="0.25">
      <c r="A19" s="1154"/>
      <c r="B19" s="1227"/>
      <c r="C19" s="565" t="s">
        <v>378</v>
      </c>
      <c r="D19" s="82">
        <v>896</v>
      </c>
      <c r="E19" s="81">
        <v>896</v>
      </c>
      <c r="F19" s="82">
        <v>896</v>
      </c>
      <c r="G19" s="356">
        <v>896</v>
      </c>
      <c r="H19" s="94">
        <v>671.99</v>
      </c>
      <c r="I19" s="957">
        <v>744</v>
      </c>
      <c r="J19" s="77">
        <f t="shared" si="0"/>
        <v>83.035714285714292</v>
      </c>
      <c r="K19" s="78">
        <f t="shared" si="1"/>
        <v>83.035714285714292</v>
      </c>
    </row>
    <row r="20" spans="1:240" s="68" customFormat="1" ht="15" customHeight="1" x14ac:dyDescent="0.25">
      <c r="A20" s="1174"/>
      <c r="B20" s="1228"/>
      <c r="C20" s="565" t="s">
        <v>369</v>
      </c>
      <c r="D20" s="82">
        <v>8965</v>
      </c>
      <c r="E20" s="119">
        <v>9965</v>
      </c>
      <c r="F20" s="82">
        <v>8965</v>
      </c>
      <c r="G20" s="356">
        <v>8965</v>
      </c>
      <c r="H20" s="119">
        <v>7585.36</v>
      </c>
      <c r="I20" s="957">
        <v>8965</v>
      </c>
      <c r="J20" s="77">
        <f t="shared" si="0"/>
        <v>100</v>
      </c>
      <c r="K20" s="78">
        <f t="shared" si="1"/>
        <v>100</v>
      </c>
    </row>
    <row r="21" spans="1:240" s="459" customFormat="1" ht="66" customHeight="1" x14ac:dyDescent="0.25">
      <c r="A21" s="564">
        <v>3311</v>
      </c>
      <c r="B21" s="1223" t="s">
        <v>293</v>
      </c>
      <c r="C21" s="1224"/>
      <c r="D21" s="450">
        <v>5500</v>
      </c>
      <c r="E21" s="389">
        <v>5499</v>
      </c>
      <c r="F21" s="446">
        <v>5500</v>
      </c>
      <c r="G21" s="390">
        <v>5500</v>
      </c>
      <c r="H21" s="391">
        <v>5499</v>
      </c>
      <c r="I21" s="960">
        <v>5500</v>
      </c>
      <c r="J21" s="392">
        <f t="shared" si="0"/>
        <v>100</v>
      </c>
      <c r="K21" s="393">
        <f t="shared" si="1"/>
        <v>100</v>
      </c>
    </row>
    <row r="22" spans="1:240" s="410" customFormat="1" ht="29.25" customHeight="1" x14ac:dyDescent="0.25">
      <c r="A22" s="1154">
        <v>3314</v>
      </c>
      <c r="B22" s="1223" t="s">
        <v>186</v>
      </c>
      <c r="C22" s="1224"/>
      <c r="D22" s="417">
        <f>SUM(D23:D26)</f>
        <v>46230</v>
      </c>
      <c r="E22" s="445">
        <f t="shared" ref="E22:I22" si="3">SUM(E23:E26)</f>
        <v>46431</v>
      </c>
      <c r="F22" s="397">
        <f t="shared" si="3"/>
        <v>48350</v>
      </c>
      <c r="G22" s="419">
        <f t="shared" si="3"/>
        <v>49931.15</v>
      </c>
      <c r="H22" s="426">
        <f t="shared" si="3"/>
        <v>37740.959999999999</v>
      </c>
      <c r="I22" s="956">
        <f t="shared" si="3"/>
        <v>47889</v>
      </c>
      <c r="J22" s="392">
        <f t="shared" si="0"/>
        <v>99.046535677352637</v>
      </c>
      <c r="K22" s="393">
        <f t="shared" si="1"/>
        <v>95.910068163861638</v>
      </c>
    </row>
    <row r="23" spans="1:240" s="87" customFormat="1" ht="15" customHeight="1" x14ac:dyDescent="0.25">
      <c r="A23" s="1154"/>
      <c r="B23" s="1171" t="s">
        <v>92</v>
      </c>
      <c r="C23" s="565" t="s">
        <v>124</v>
      </c>
      <c r="D23" s="82">
        <v>8935</v>
      </c>
      <c r="E23" s="316">
        <v>8935</v>
      </c>
      <c r="F23" s="358">
        <v>8935</v>
      </c>
      <c r="G23" s="75">
        <v>8935</v>
      </c>
      <c r="H23" s="83">
        <v>6701.25</v>
      </c>
      <c r="I23" s="957">
        <v>9183</v>
      </c>
      <c r="J23" s="77">
        <f>I23/F23*100</f>
        <v>102.77560156687184</v>
      </c>
      <c r="K23" s="78">
        <f>I23/G23*100</f>
        <v>102.77560156687184</v>
      </c>
      <c r="IF23" s="590"/>
    </row>
    <row r="24" spans="1:240" s="87" customFormat="1" ht="15" customHeight="1" x14ac:dyDescent="0.25">
      <c r="A24" s="1154"/>
      <c r="B24" s="1172"/>
      <c r="C24" s="565" t="s">
        <v>346</v>
      </c>
      <c r="D24" s="82">
        <v>32684</v>
      </c>
      <c r="E24" s="316">
        <v>32885</v>
      </c>
      <c r="F24" s="358">
        <v>34804</v>
      </c>
      <c r="G24" s="75">
        <v>36385.15</v>
      </c>
      <c r="H24" s="83">
        <v>27581.47</v>
      </c>
      <c r="I24" s="957">
        <v>36651</v>
      </c>
      <c r="J24" s="77">
        <f>I24/F24*100</f>
        <v>105.30686128031262</v>
      </c>
      <c r="K24" s="78">
        <f>I24/G24*100</f>
        <v>100.73065522610185</v>
      </c>
      <c r="IF24" s="590"/>
    </row>
    <row r="25" spans="1:240" s="87" customFormat="1" ht="15" customHeight="1" x14ac:dyDescent="0.25">
      <c r="A25" s="1154"/>
      <c r="B25" s="1172"/>
      <c r="C25" s="565" t="s">
        <v>125</v>
      </c>
      <c r="D25" s="82">
        <v>815</v>
      </c>
      <c r="E25" s="316">
        <v>815</v>
      </c>
      <c r="F25" s="358">
        <v>815</v>
      </c>
      <c r="G25" s="75">
        <v>815</v>
      </c>
      <c r="H25" s="83">
        <v>611.24</v>
      </c>
      <c r="I25" s="957">
        <v>815</v>
      </c>
      <c r="J25" s="77">
        <f>I25/F25*100</f>
        <v>100</v>
      </c>
      <c r="K25" s="78">
        <f>I25/G25*100</f>
        <v>100</v>
      </c>
      <c r="IF25" s="590"/>
    </row>
    <row r="26" spans="1:240" s="87" customFormat="1" ht="15" customHeight="1" x14ac:dyDescent="0.25">
      <c r="A26" s="1154"/>
      <c r="B26" s="1172"/>
      <c r="C26" s="565" t="s">
        <v>378</v>
      </c>
      <c r="D26" s="82">
        <v>3796</v>
      </c>
      <c r="E26" s="81">
        <v>3796</v>
      </c>
      <c r="F26" s="82">
        <v>3796</v>
      </c>
      <c r="G26" s="356">
        <v>3796</v>
      </c>
      <c r="H26" s="94">
        <v>2847</v>
      </c>
      <c r="I26" s="957">
        <v>1240</v>
      </c>
      <c r="J26" s="77">
        <f t="shared" si="0"/>
        <v>32.665964172813489</v>
      </c>
      <c r="K26" s="78">
        <f t="shared" si="1"/>
        <v>32.665964172813489</v>
      </c>
      <c r="IF26" s="590"/>
    </row>
    <row r="27" spans="1:240" s="410" customFormat="1" ht="30" customHeight="1" x14ac:dyDescent="0.25">
      <c r="A27" s="1153">
        <v>3314</v>
      </c>
      <c r="B27" s="1147" t="s">
        <v>442</v>
      </c>
      <c r="C27" s="1148"/>
      <c r="D27" s="417">
        <f>SUM(D28:D33)</f>
        <v>18283</v>
      </c>
      <c r="E27" s="445">
        <f t="shared" ref="E27:H27" si="4">SUM(E28:E33)</f>
        <v>18336</v>
      </c>
      <c r="F27" s="397">
        <f>SUM(F28:F33)</f>
        <v>18283</v>
      </c>
      <c r="G27" s="419">
        <f t="shared" si="4"/>
        <v>20404.230000000003</v>
      </c>
      <c r="H27" s="426">
        <f t="shared" si="4"/>
        <v>17280.11</v>
      </c>
      <c r="I27" s="956">
        <f>SUM(I28:I33)</f>
        <v>20575</v>
      </c>
      <c r="J27" s="400">
        <f t="shared" si="0"/>
        <v>112.53623584750862</v>
      </c>
      <c r="K27" s="401">
        <f t="shared" si="1"/>
        <v>100.83693430234808</v>
      </c>
    </row>
    <row r="28" spans="1:240" s="87" customFormat="1" ht="15" customHeight="1" x14ac:dyDescent="0.25">
      <c r="A28" s="1154"/>
      <c r="B28" s="1220" t="s">
        <v>92</v>
      </c>
      <c r="C28" s="593" t="s">
        <v>190</v>
      </c>
      <c r="D28" s="73">
        <v>8250</v>
      </c>
      <c r="E28" s="316">
        <v>8303</v>
      </c>
      <c r="F28" s="358">
        <v>8250</v>
      </c>
      <c r="G28" s="75">
        <v>8701.6299999999992</v>
      </c>
      <c r="H28" s="83">
        <v>5577.51</v>
      </c>
      <c r="I28" s="957">
        <v>6306</v>
      </c>
      <c r="J28" s="77">
        <f t="shared" si="0"/>
        <v>76.436363636363637</v>
      </c>
      <c r="K28" s="78">
        <f t="shared" si="1"/>
        <v>72.46918106147929</v>
      </c>
    </row>
    <row r="29" spans="1:240" s="87" customFormat="1" ht="38.25" customHeight="1" x14ac:dyDescent="0.25">
      <c r="A29" s="1154"/>
      <c r="B29" s="1221"/>
      <c r="C29" s="850" t="s">
        <v>470</v>
      </c>
      <c r="D29" s="73">
        <v>0</v>
      </c>
      <c r="E29" s="316">
        <v>0</v>
      </c>
      <c r="F29" s="358">
        <v>10033</v>
      </c>
      <c r="G29" s="75">
        <v>0</v>
      </c>
      <c r="H29" s="83">
        <v>0</v>
      </c>
      <c r="I29" s="957">
        <v>14269</v>
      </c>
      <c r="J29" s="77">
        <f t="shared" si="0"/>
        <v>142.22067178311573</v>
      </c>
      <c r="K29" s="78" t="s">
        <v>58</v>
      </c>
    </row>
    <row r="30" spans="1:240" s="87" customFormat="1" ht="15" customHeight="1" x14ac:dyDescent="0.25">
      <c r="A30" s="1154"/>
      <c r="B30" s="1221"/>
      <c r="C30" s="593" t="s">
        <v>191</v>
      </c>
      <c r="D30" s="73">
        <v>1977</v>
      </c>
      <c r="E30" s="316">
        <v>1977</v>
      </c>
      <c r="F30" s="358">
        <v>0</v>
      </c>
      <c r="G30" s="75">
        <v>2044</v>
      </c>
      <c r="H30" s="83">
        <v>2044</v>
      </c>
      <c r="I30" s="957">
        <v>0</v>
      </c>
      <c r="J30" s="77" t="s">
        <v>58</v>
      </c>
      <c r="K30" s="78">
        <f t="shared" ref="K30:K76" si="5">I30/G30*100</f>
        <v>0</v>
      </c>
    </row>
    <row r="31" spans="1:240" s="87" customFormat="1" ht="15" customHeight="1" x14ac:dyDescent="0.25">
      <c r="A31" s="1154"/>
      <c r="B31" s="1221"/>
      <c r="C31" s="593" t="s">
        <v>192</v>
      </c>
      <c r="D31" s="73">
        <v>3133</v>
      </c>
      <c r="E31" s="316">
        <v>3133</v>
      </c>
      <c r="F31" s="358">
        <v>0</v>
      </c>
      <c r="G31" s="75">
        <v>3728.3</v>
      </c>
      <c r="H31" s="83">
        <v>3728.3</v>
      </c>
      <c r="I31" s="957">
        <v>0</v>
      </c>
      <c r="J31" s="77" t="s">
        <v>58</v>
      </c>
      <c r="K31" s="78">
        <f t="shared" si="5"/>
        <v>0</v>
      </c>
    </row>
    <row r="32" spans="1:240" s="87" customFormat="1" ht="15" customHeight="1" x14ac:dyDescent="0.25">
      <c r="A32" s="1154"/>
      <c r="B32" s="1221"/>
      <c r="C32" s="593" t="s">
        <v>193</v>
      </c>
      <c r="D32" s="79">
        <v>2459</v>
      </c>
      <c r="E32" s="316">
        <v>2459</v>
      </c>
      <c r="F32" s="358">
        <v>0</v>
      </c>
      <c r="G32" s="80">
        <v>2994.65</v>
      </c>
      <c r="H32" s="81">
        <v>2994.65</v>
      </c>
      <c r="I32" s="957">
        <v>0</v>
      </c>
      <c r="J32" s="77" t="s">
        <v>58</v>
      </c>
      <c r="K32" s="78">
        <f t="shared" si="5"/>
        <v>0</v>
      </c>
    </row>
    <row r="33" spans="1:18" s="87" customFormat="1" ht="15" customHeight="1" x14ac:dyDescent="0.25">
      <c r="A33" s="1174"/>
      <c r="B33" s="1222"/>
      <c r="C33" s="593" t="s">
        <v>194</v>
      </c>
      <c r="D33" s="79">
        <v>2464</v>
      </c>
      <c r="E33" s="316">
        <v>2464</v>
      </c>
      <c r="F33" s="358">
        <v>0</v>
      </c>
      <c r="G33" s="80">
        <v>2935.65</v>
      </c>
      <c r="H33" s="81">
        <v>2935.65</v>
      </c>
      <c r="I33" s="957">
        <v>0</v>
      </c>
      <c r="J33" s="77" t="s">
        <v>58</v>
      </c>
      <c r="K33" s="78">
        <f t="shared" si="5"/>
        <v>0</v>
      </c>
    </row>
    <row r="34" spans="1:18" ht="20.100000000000001" customHeight="1" x14ac:dyDescent="0.25">
      <c r="A34" s="1211" t="s">
        <v>384</v>
      </c>
      <c r="B34" s="1212"/>
      <c r="C34" s="1183"/>
      <c r="D34" s="395">
        <f t="shared" ref="D34:H34" si="6">SUM(D35:D37)</f>
        <v>8865</v>
      </c>
      <c r="E34" s="445">
        <f t="shared" si="6"/>
        <v>10398.609999999999</v>
      </c>
      <c r="F34" s="397">
        <f t="shared" si="6"/>
        <v>7507</v>
      </c>
      <c r="G34" s="398">
        <f t="shared" si="6"/>
        <v>9938.77</v>
      </c>
      <c r="H34" s="399">
        <f t="shared" si="6"/>
        <v>7440.51</v>
      </c>
      <c r="I34" s="956">
        <f>SUM(I35:I37)</f>
        <v>8507</v>
      </c>
      <c r="J34" s="400">
        <f t="shared" ref="J34:J76" si="7">I34/F34*100</f>
        <v>113.32090049287331</v>
      </c>
      <c r="K34" s="401">
        <f t="shared" si="5"/>
        <v>85.594092629168401</v>
      </c>
      <c r="L34" s="84"/>
      <c r="M34" s="84"/>
      <c r="N34" s="85"/>
      <c r="O34" s="85"/>
      <c r="P34" s="85"/>
      <c r="Q34" s="85"/>
      <c r="R34" s="85"/>
    </row>
    <row r="35" spans="1:18" ht="20.100000000000001" customHeight="1" x14ac:dyDescent="0.25">
      <c r="A35" s="507">
        <v>3314</v>
      </c>
      <c r="B35" s="1197" t="s">
        <v>306</v>
      </c>
      <c r="C35" s="1198"/>
      <c r="D35" s="357">
        <v>0</v>
      </c>
      <c r="E35" s="115">
        <v>707.46</v>
      </c>
      <c r="F35" s="357">
        <v>0</v>
      </c>
      <c r="G35" s="113">
        <v>417.6</v>
      </c>
      <c r="H35" s="114">
        <v>317.60000000000002</v>
      </c>
      <c r="I35" s="1019">
        <v>0</v>
      </c>
      <c r="J35" s="535" t="s">
        <v>58</v>
      </c>
      <c r="K35" s="536">
        <f t="shared" si="5"/>
        <v>0</v>
      </c>
      <c r="L35" s="84"/>
      <c r="M35" s="84"/>
      <c r="N35" s="85"/>
      <c r="O35" s="85"/>
      <c r="P35" s="85"/>
      <c r="Q35" s="85"/>
      <c r="R35" s="85"/>
    </row>
    <row r="36" spans="1:18" ht="20.100000000000001" customHeight="1" x14ac:dyDescent="0.25">
      <c r="A36" s="507">
        <v>3315</v>
      </c>
      <c r="B36" s="1197" t="s">
        <v>179</v>
      </c>
      <c r="C36" s="1198"/>
      <c r="D36" s="357">
        <v>8865</v>
      </c>
      <c r="E36" s="115">
        <v>9499.27</v>
      </c>
      <c r="F36" s="357">
        <v>7507</v>
      </c>
      <c r="G36" s="113">
        <v>9336.3700000000008</v>
      </c>
      <c r="H36" s="114">
        <v>7048.11</v>
      </c>
      <c r="I36" s="1019">
        <v>8507</v>
      </c>
      <c r="J36" s="535">
        <f t="shared" si="7"/>
        <v>113.32090049287331</v>
      </c>
      <c r="K36" s="536">
        <f t="shared" si="5"/>
        <v>91.11678307522088</v>
      </c>
      <c r="L36" s="84"/>
      <c r="M36" s="84"/>
      <c r="N36" s="85"/>
      <c r="O36" s="85"/>
      <c r="P36" s="85"/>
      <c r="Q36" s="85"/>
      <c r="R36" s="85"/>
    </row>
    <row r="37" spans="1:18" ht="20.100000000000001" customHeight="1" x14ac:dyDescent="0.25">
      <c r="A37" s="507">
        <v>3321</v>
      </c>
      <c r="B37" s="1197" t="s">
        <v>385</v>
      </c>
      <c r="C37" s="1198"/>
      <c r="D37" s="357">
        <v>0</v>
      </c>
      <c r="E37" s="115">
        <v>191.88</v>
      </c>
      <c r="F37" s="357">
        <v>0</v>
      </c>
      <c r="G37" s="113">
        <v>184.8</v>
      </c>
      <c r="H37" s="114">
        <v>74.8</v>
      </c>
      <c r="I37" s="1019">
        <v>0</v>
      </c>
      <c r="J37" s="535" t="s">
        <v>58</v>
      </c>
      <c r="K37" s="536">
        <f t="shared" si="5"/>
        <v>0</v>
      </c>
      <c r="L37" s="84"/>
      <c r="M37" s="84"/>
      <c r="N37" s="85"/>
      <c r="O37" s="85"/>
      <c r="P37" s="85"/>
      <c r="Q37" s="85"/>
      <c r="R37" s="85"/>
    </row>
    <row r="38" spans="1:18" s="87" customFormat="1" ht="33.75" customHeight="1" x14ac:dyDescent="0.25">
      <c r="A38" s="851">
        <v>3314</v>
      </c>
      <c r="B38" s="1223" t="s">
        <v>471</v>
      </c>
      <c r="C38" s="1224"/>
      <c r="D38" s="395">
        <v>250</v>
      </c>
      <c r="E38" s="445">
        <v>196.99</v>
      </c>
      <c r="F38" s="397">
        <v>250</v>
      </c>
      <c r="G38" s="398">
        <v>250</v>
      </c>
      <c r="H38" s="399">
        <v>0</v>
      </c>
      <c r="I38" s="960">
        <v>250</v>
      </c>
      <c r="J38" s="400">
        <f t="shared" si="7"/>
        <v>100</v>
      </c>
      <c r="K38" s="401">
        <f t="shared" si="5"/>
        <v>100</v>
      </c>
    </row>
    <row r="39" spans="1:18" s="410" customFormat="1" ht="33" customHeight="1" x14ac:dyDescent="0.25">
      <c r="A39" s="428">
        <v>3315</v>
      </c>
      <c r="B39" s="1147" t="s">
        <v>254</v>
      </c>
      <c r="C39" s="1148"/>
      <c r="D39" s="395">
        <v>600</v>
      </c>
      <c r="E39" s="445">
        <v>0</v>
      </c>
      <c r="F39" s="397">
        <v>600</v>
      </c>
      <c r="G39" s="398">
        <v>0.42</v>
      </c>
      <c r="H39" s="399">
        <v>0</v>
      </c>
      <c r="I39" s="956">
        <v>600</v>
      </c>
      <c r="J39" s="400">
        <f t="shared" si="7"/>
        <v>100</v>
      </c>
      <c r="K39" s="401" t="s">
        <v>58</v>
      </c>
    </row>
    <row r="40" spans="1:18" s="410" customFormat="1" ht="20.100000000000001" customHeight="1" x14ac:dyDescent="0.25">
      <c r="A40" s="428">
        <v>3315</v>
      </c>
      <c r="B40" s="1147" t="s">
        <v>312</v>
      </c>
      <c r="C40" s="1148"/>
      <c r="D40" s="395">
        <v>0</v>
      </c>
      <c r="E40" s="445">
        <v>2</v>
      </c>
      <c r="F40" s="397">
        <v>0</v>
      </c>
      <c r="G40" s="398">
        <v>0</v>
      </c>
      <c r="H40" s="399">
        <v>0</v>
      </c>
      <c r="I40" s="956">
        <v>0</v>
      </c>
      <c r="J40" s="400" t="s">
        <v>58</v>
      </c>
      <c r="K40" s="401" t="s">
        <v>58</v>
      </c>
    </row>
    <row r="41" spans="1:18" s="410" customFormat="1" ht="20.100000000000001" customHeight="1" x14ac:dyDescent="0.25">
      <c r="A41" s="428">
        <v>3315</v>
      </c>
      <c r="B41" s="1147" t="s">
        <v>353</v>
      </c>
      <c r="C41" s="1148"/>
      <c r="D41" s="395">
        <v>655</v>
      </c>
      <c r="E41" s="445">
        <v>0</v>
      </c>
      <c r="F41" s="397">
        <v>655</v>
      </c>
      <c r="G41" s="398">
        <v>0</v>
      </c>
      <c r="H41" s="399">
        <v>0</v>
      </c>
      <c r="I41" s="956">
        <v>655</v>
      </c>
      <c r="J41" s="400">
        <f t="shared" si="7"/>
        <v>100</v>
      </c>
      <c r="K41" s="542" t="s">
        <v>58</v>
      </c>
    </row>
    <row r="42" spans="1:18" s="410" customFormat="1" ht="20.100000000000001" customHeight="1" x14ac:dyDescent="0.25">
      <c r="A42" s="428">
        <v>3315</v>
      </c>
      <c r="B42" s="1147" t="s">
        <v>440</v>
      </c>
      <c r="C42" s="1148"/>
      <c r="D42" s="395">
        <v>400</v>
      </c>
      <c r="E42" s="445">
        <v>0</v>
      </c>
      <c r="F42" s="397">
        <v>400</v>
      </c>
      <c r="G42" s="398">
        <v>0</v>
      </c>
      <c r="H42" s="399">
        <v>0</v>
      </c>
      <c r="I42" s="956">
        <v>400</v>
      </c>
      <c r="J42" s="400">
        <f t="shared" si="7"/>
        <v>100</v>
      </c>
      <c r="K42" s="401" t="s">
        <v>58</v>
      </c>
    </row>
    <row r="43" spans="1:18" s="459" customFormat="1" ht="30" customHeight="1" x14ac:dyDescent="0.25">
      <c r="A43" s="1153">
        <v>3315</v>
      </c>
      <c r="B43" s="1147" t="s">
        <v>187</v>
      </c>
      <c r="C43" s="1148"/>
      <c r="D43" s="417">
        <f>SUM(D44:D47)</f>
        <v>373804</v>
      </c>
      <c r="E43" s="445">
        <f t="shared" ref="E43:I43" si="8">SUM(E44:E47)</f>
        <v>389858.37</v>
      </c>
      <c r="F43" s="446">
        <f t="shared" si="8"/>
        <v>414579</v>
      </c>
      <c r="G43" s="419">
        <f t="shared" si="8"/>
        <v>437162.81999999995</v>
      </c>
      <c r="H43" s="426">
        <f t="shared" si="8"/>
        <v>330033.74</v>
      </c>
      <c r="I43" s="956">
        <f t="shared" si="8"/>
        <v>430407</v>
      </c>
      <c r="J43" s="400">
        <f t="shared" si="7"/>
        <v>103.81784895038099</v>
      </c>
      <c r="K43" s="401">
        <f t="shared" si="5"/>
        <v>98.454621552674595</v>
      </c>
    </row>
    <row r="44" spans="1:18" s="87" customFormat="1" ht="15" customHeight="1" x14ac:dyDescent="0.25">
      <c r="A44" s="1154"/>
      <c r="B44" s="1171" t="s">
        <v>92</v>
      </c>
      <c r="C44" s="565" t="s">
        <v>124</v>
      </c>
      <c r="D44" s="82">
        <v>53843</v>
      </c>
      <c r="E44" s="316">
        <v>64933.8</v>
      </c>
      <c r="F44" s="358">
        <v>64046</v>
      </c>
      <c r="G44" s="75">
        <v>70348.78</v>
      </c>
      <c r="H44" s="83">
        <v>52293.58</v>
      </c>
      <c r="I44" s="957">
        <v>69217</v>
      </c>
      <c r="J44" s="77">
        <f>I44/F44*100</f>
        <v>108.07388439559067</v>
      </c>
      <c r="K44" s="78">
        <f>I44/G44*100</f>
        <v>98.391187452006989</v>
      </c>
    </row>
    <row r="45" spans="1:18" s="87" customFormat="1" ht="15" customHeight="1" x14ac:dyDescent="0.25">
      <c r="A45" s="1154"/>
      <c r="B45" s="1172"/>
      <c r="C45" s="565" t="s">
        <v>346</v>
      </c>
      <c r="D45" s="82">
        <v>275582</v>
      </c>
      <c r="E45" s="316">
        <v>280437.25</v>
      </c>
      <c r="F45" s="358">
        <v>304821</v>
      </c>
      <c r="G45" s="75">
        <v>318599.78999999998</v>
      </c>
      <c r="H45" s="83">
        <v>241454.03</v>
      </c>
      <c r="I45" s="957">
        <v>327153</v>
      </c>
      <c r="J45" s="77">
        <f>I45/F45*100</f>
        <v>107.32626689106067</v>
      </c>
      <c r="K45" s="78">
        <f>I45/G45*100</f>
        <v>102.68462512169265</v>
      </c>
    </row>
    <row r="46" spans="1:18" s="87" customFormat="1" ht="15" customHeight="1" x14ac:dyDescent="0.25">
      <c r="A46" s="1154"/>
      <c r="B46" s="1172"/>
      <c r="C46" s="315" t="s">
        <v>125</v>
      </c>
      <c r="D46" s="82">
        <v>10251</v>
      </c>
      <c r="E46" s="316">
        <v>10251</v>
      </c>
      <c r="F46" s="358">
        <v>11653</v>
      </c>
      <c r="G46" s="75">
        <v>11653</v>
      </c>
      <c r="H46" s="83">
        <v>8739.68</v>
      </c>
      <c r="I46" s="957">
        <v>11653</v>
      </c>
      <c r="J46" s="126">
        <f>I46/F46*100</f>
        <v>100</v>
      </c>
      <c r="K46" s="72">
        <f>I46/G46*100</f>
        <v>100</v>
      </c>
    </row>
    <row r="47" spans="1:18" s="87" customFormat="1" ht="15" customHeight="1" x14ac:dyDescent="0.25">
      <c r="A47" s="1154"/>
      <c r="B47" s="1172"/>
      <c r="C47" s="565" t="s">
        <v>378</v>
      </c>
      <c r="D47" s="82">
        <v>34128</v>
      </c>
      <c r="E47" s="81">
        <v>34236.32</v>
      </c>
      <c r="F47" s="82">
        <v>34059</v>
      </c>
      <c r="G47" s="356">
        <v>36561.25</v>
      </c>
      <c r="H47" s="94">
        <v>27546.45</v>
      </c>
      <c r="I47" s="957">
        <v>22384</v>
      </c>
      <c r="J47" s="126">
        <f t="shared" si="7"/>
        <v>65.721248421856188</v>
      </c>
      <c r="K47" s="72">
        <f t="shared" si="5"/>
        <v>61.223289685117443</v>
      </c>
    </row>
    <row r="48" spans="1:18" s="410" customFormat="1" ht="20.100000000000001" customHeight="1" x14ac:dyDescent="0.25">
      <c r="A48" s="1199" t="s">
        <v>167</v>
      </c>
      <c r="B48" s="1200"/>
      <c r="C48" s="1148"/>
      <c r="D48" s="417">
        <f t="shared" ref="D48:I48" si="9">SUM(D49:D50)</f>
        <v>2000</v>
      </c>
      <c r="E48" s="445">
        <f t="shared" si="9"/>
        <v>5951.45</v>
      </c>
      <c r="F48" s="446">
        <f t="shared" si="9"/>
        <v>2000</v>
      </c>
      <c r="G48" s="419">
        <f t="shared" si="9"/>
        <v>6949.08</v>
      </c>
      <c r="H48" s="426">
        <f t="shared" si="9"/>
        <v>6853.26</v>
      </c>
      <c r="I48" s="956">
        <f t="shared" si="9"/>
        <v>2000</v>
      </c>
      <c r="J48" s="400">
        <f t="shared" si="7"/>
        <v>100</v>
      </c>
      <c r="K48" s="401">
        <f t="shared" si="5"/>
        <v>28.780788248228546</v>
      </c>
    </row>
    <row r="49" spans="1:11" s="100" customFormat="1" ht="20.100000000000001" customHeight="1" x14ac:dyDescent="0.25">
      <c r="A49" s="507">
        <v>3314</v>
      </c>
      <c r="B49" s="1197" t="s">
        <v>306</v>
      </c>
      <c r="C49" s="1198"/>
      <c r="D49" s="715">
        <v>0</v>
      </c>
      <c r="E49" s="716">
        <v>0</v>
      </c>
      <c r="F49" s="357">
        <v>0</v>
      </c>
      <c r="G49" s="684">
        <v>2000</v>
      </c>
      <c r="H49" s="717">
        <v>2000</v>
      </c>
      <c r="I49" s="1019">
        <v>0</v>
      </c>
      <c r="J49" s="666" t="s">
        <v>58</v>
      </c>
      <c r="K49" s="718">
        <f t="shared" si="5"/>
        <v>0</v>
      </c>
    </row>
    <row r="50" spans="1:11" s="100" customFormat="1" ht="20.100000000000001" customHeight="1" x14ac:dyDescent="0.25">
      <c r="A50" s="507">
        <v>3315</v>
      </c>
      <c r="B50" s="1197" t="s">
        <v>312</v>
      </c>
      <c r="C50" s="1198"/>
      <c r="D50" s="715">
        <v>2000</v>
      </c>
      <c r="E50" s="716">
        <v>5951.45</v>
      </c>
      <c r="F50" s="357">
        <v>2000</v>
      </c>
      <c r="G50" s="684">
        <v>4949.08</v>
      </c>
      <c r="H50" s="717">
        <v>4853.26</v>
      </c>
      <c r="I50" s="1019">
        <v>2000</v>
      </c>
      <c r="J50" s="666">
        <f t="shared" si="7"/>
        <v>100</v>
      </c>
      <c r="K50" s="718">
        <f t="shared" si="5"/>
        <v>40.411551237805817</v>
      </c>
    </row>
    <row r="51" spans="1:11" s="87" customFormat="1" ht="15" customHeight="1" x14ac:dyDescent="0.25">
      <c r="A51" s="714"/>
      <c r="B51" s="317" t="s">
        <v>92</v>
      </c>
      <c r="C51" s="498" t="s">
        <v>125</v>
      </c>
      <c r="D51" s="73">
        <v>2000</v>
      </c>
      <c r="E51" s="316">
        <f>+E48</f>
        <v>5951.45</v>
      </c>
      <c r="F51" s="860">
        <v>2000</v>
      </c>
      <c r="G51" s="861">
        <f>+G48</f>
        <v>6949.08</v>
      </c>
      <c r="H51" s="862">
        <f>+H48</f>
        <v>6853.26</v>
      </c>
      <c r="I51" s="957">
        <v>2000</v>
      </c>
      <c r="J51" s="77">
        <f t="shared" si="7"/>
        <v>100</v>
      </c>
      <c r="K51" s="78">
        <f t="shared" si="5"/>
        <v>28.780788248228546</v>
      </c>
    </row>
    <row r="52" spans="1:11" s="89" customFormat="1" ht="20.100000000000001" customHeight="1" x14ac:dyDescent="0.25">
      <c r="A52" s="1211" t="s">
        <v>289</v>
      </c>
      <c r="B52" s="1212"/>
      <c r="C52" s="1212"/>
      <c r="D52" s="417">
        <f>SUM(D53:D54)</f>
        <v>600</v>
      </c>
      <c r="E52" s="445">
        <f t="shared" ref="E52:I52" si="10">SUM(E53:E54)</f>
        <v>241.72</v>
      </c>
      <c r="F52" s="446">
        <f t="shared" si="10"/>
        <v>600</v>
      </c>
      <c r="G52" s="419">
        <f t="shared" si="10"/>
        <v>346.7</v>
      </c>
      <c r="H52" s="426">
        <f t="shared" si="10"/>
        <v>46.58</v>
      </c>
      <c r="I52" s="956">
        <f t="shared" si="10"/>
        <v>600</v>
      </c>
      <c r="J52" s="400">
        <f t="shared" si="7"/>
        <v>100</v>
      </c>
      <c r="K52" s="401">
        <f t="shared" si="5"/>
        <v>173.06028266512837</v>
      </c>
    </row>
    <row r="53" spans="1:11" s="100" customFormat="1" ht="20.100000000000001" customHeight="1" x14ac:dyDescent="0.25">
      <c r="A53" s="507">
        <v>3315</v>
      </c>
      <c r="B53" s="1197" t="s">
        <v>312</v>
      </c>
      <c r="C53" s="1198"/>
      <c r="D53" s="715">
        <v>200</v>
      </c>
      <c r="E53" s="716">
        <v>42.72</v>
      </c>
      <c r="F53" s="357">
        <v>200</v>
      </c>
      <c r="G53" s="684">
        <v>146.69999999999999</v>
      </c>
      <c r="H53" s="717">
        <v>46.58</v>
      </c>
      <c r="I53" s="1019">
        <v>200</v>
      </c>
      <c r="J53" s="666">
        <f t="shared" si="7"/>
        <v>100</v>
      </c>
      <c r="K53" s="718">
        <f t="shared" si="5"/>
        <v>136.33265167007499</v>
      </c>
    </row>
    <row r="54" spans="1:11" s="100" customFormat="1" ht="20.100000000000001" customHeight="1" x14ac:dyDescent="0.25">
      <c r="A54" s="507">
        <v>3321</v>
      </c>
      <c r="B54" s="1197" t="s">
        <v>385</v>
      </c>
      <c r="C54" s="1198"/>
      <c r="D54" s="715">
        <v>400</v>
      </c>
      <c r="E54" s="716">
        <v>199</v>
      </c>
      <c r="F54" s="357">
        <v>400</v>
      </c>
      <c r="G54" s="684">
        <v>200</v>
      </c>
      <c r="H54" s="717">
        <v>0</v>
      </c>
      <c r="I54" s="1019">
        <v>400</v>
      </c>
      <c r="J54" s="666">
        <f t="shared" si="7"/>
        <v>100</v>
      </c>
      <c r="K54" s="718">
        <f t="shared" si="5"/>
        <v>200</v>
      </c>
    </row>
    <row r="55" spans="1:11" s="459" customFormat="1" ht="30" customHeight="1" x14ac:dyDescent="0.25">
      <c r="A55" s="428">
        <v>3319</v>
      </c>
      <c r="B55" s="1147" t="s">
        <v>441</v>
      </c>
      <c r="C55" s="1148"/>
      <c r="D55" s="417">
        <v>200</v>
      </c>
      <c r="E55" s="445">
        <v>68</v>
      </c>
      <c r="F55" s="397">
        <v>200</v>
      </c>
      <c r="G55" s="419">
        <v>1808.5</v>
      </c>
      <c r="H55" s="426">
        <v>10</v>
      </c>
      <c r="I55" s="956">
        <v>1411</v>
      </c>
      <c r="J55" s="400">
        <f t="shared" si="7"/>
        <v>705.5</v>
      </c>
      <c r="K55" s="401">
        <f t="shared" si="5"/>
        <v>78.020458943876136</v>
      </c>
    </row>
    <row r="56" spans="1:11" s="459" customFormat="1" ht="20.100000000000001" customHeight="1" x14ac:dyDescent="0.25">
      <c r="A56" s="428">
        <v>3319</v>
      </c>
      <c r="B56" s="1147" t="s">
        <v>311</v>
      </c>
      <c r="C56" s="1148"/>
      <c r="D56" s="417">
        <v>0</v>
      </c>
      <c r="E56" s="445">
        <v>738.71</v>
      </c>
      <c r="F56" s="397">
        <v>0</v>
      </c>
      <c r="G56" s="419">
        <v>0</v>
      </c>
      <c r="H56" s="426">
        <v>0</v>
      </c>
      <c r="I56" s="956">
        <v>0</v>
      </c>
      <c r="J56" s="400" t="s">
        <v>58</v>
      </c>
      <c r="K56" s="401" t="s">
        <v>58</v>
      </c>
    </row>
    <row r="57" spans="1:11" s="459" customFormat="1" ht="20.100000000000001" customHeight="1" x14ac:dyDescent="0.25">
      <c r="A57" s="428">
        <v>3319</v>
      </c>
      <c r="B57" s="1147" t="s">
        <v>198</v>
      </c>
      <c r="C57" s="1148"/>
      <c r="D57" s="417">
        <v>1000</v>
      </c>
      <c r="E57" s="445">
        <v>586.71</v>
      </c>
      <c r="F57" s="397">
        <v>1300</v>
      </c>
      <c r="G57" s="419">
        <v>1216.52</v>
      </c>
      <c r="H57" s="426">
        <v>100.2</v>
      </c>
      <c r="I57" s="956">
        <v>1300</v>
      </c>
      <c r="J57" s="400">
        <f t="shared" si="7"/>
        <v>100</v>
      </c>
      <c r="K57" s="401">
        <f t="shared" si="5"/>
        <v>106.86219708677211</v>
      </c>
    </row>
    <row r="58" spans="1:11" s="459" customFormat="1" ht="23.25" customHeight="1" x14ac:dyDescent="0.25">
      <c r="A58" s="1199" t="s">
        <v>195</v>
      </c>
      <c r="B58" s="1200"/>
      <c r="C58" s="1148"/>
      <c r="D58" s="417">
        <f t="shared" ref="D58:I58" si="11">+D64+D62+D59</f>
        <v>5275</v>
      </c>
      <c r="E58" s="445">
        <f t="shared" si="11"/>
        <v>4966.2</v>
      </c>
      <c r="F58" s="397">
        <f t="shared" si="11"/>
        <v>5275</v>
      </c>
      <c r="G58" s="419">
        <f t="shared" si="11"/>
        <v>5035</v>
      </c>
      <c r="H58" s="426">
        <f t="shared" si="11"/>
        <v>2700</v>
      </c>
      <c r="I58" s="1020">
        <f t="shared" si="11"/>
        <v>5275</v>
      </c>
      <c r="J58" s="400">
        <f t="shared" si="7"/>
        <v>100</v>
      </c>
      <c r="K58" s="401">
        <f t="shared" si="5"/>
        <v>104.7666335650447</v>
      </c>
    </row>
    <row r="59" spans="1:11" s="459" customFormat="1" ht="20.100000000000001" customHeight="1" x14ac:dyDescent="0.25">
      <c r="A59" s="1213">
        <v>3312</v>
      </c>
      <c r="B59" s="1197" t="s">
        <v>386</v>
      </c>
      <c r="C59" s="1198"/>
      <c r="D59" s="715">
        <v>1575</v>
      </c>
      <c r="E59" s="716">
        <f>SUM(E60:E61)</f>
        <v>1775</v>
      </c>
      <c r="F59" s="357">
        <f t="shared" ref="F59:I59" si="12">SUM(F60:F61)</f>
        <v>1575</v>
      </c>
      <c r="G59" s="684">
        <f t="shared" si="12"/>
        <v>1575</v>
      </c>
      <c r="H59" s="717">
        <f t="shared" si="12"/>
        <v>0</v>
      </c>
      <c r="I59" s="1021">
        <f t="shared" si="12"/>
        <v>1575</v>
      </c>
      <c r="J59" s="666">
        <f t="shared" si="7"/>
        <v>100</v>
      </c>
      <c r="K59" s="718">
        <f t="shared" si="5"/>
        <v>100</v>
      </c>
    </row>
    <row r="60" spans="1:11" s="459" customFormat="1" ht="15" customHeight="1" x14ac:dyDescent="0.25">
      <c r="A60" s="1215"/>
      <c r="B60" s="1180" t="s">
        <v>92</v>
      </c>
      <c r="C60" s="572" t="s">
        <v>388</v>
      </c>
      <c r="D60" s="73">
        <v>975</v>
      </c>
      <c r="E60" s="316">
        <v>975</v>
      </c>
      <c r="F60" s="358">
        <v>975</v>
      </c>
      <c r="G60" s="75">
        <v>975</v>
      </c>
      <c r="H60" s="83">
        <v>0</v>
      </c>
      <c r="I60" s="1022">
        <v>975</v>
      </c>
      <c r="J60" s="691">
        <f>I60/F60*100</f>
        <v>100</v>
      </c>
      <c r="K60" s="719">
        <f>I60/G60*100</f>
        <v>100</v>
      </c>
    </row>
    <row r="61" spans="1:11" s="459" customFormat="1" ht="15" customHeight="1" x14ac:dyDescent="0.25">
      <c r="A61" s="1215"/>
      <c r="B61" s="1216"/>
      <c r="C61" s="594" t="s">
        <v>387</v>
      </c>
      <c r="D61" s="73">
        <v>600</v>
      </c>
      <c r="E61" s="316">
        <v>800</v>
      </c>
      <c r="F61" s="358">
        <v>600</v>
      </c>
      <c r="G61" s="75">
        <v>600</v>
      </c>
      <c r="H61" s="83">
        <v>0</v>
      </c>
      <c r="I61" s="1022">
        <v>600</v>
      </c>
      <c r="J61" s="830">
        <f>I61/F61*100</f>
        <v>100</v>
      </c>
      <c r="K61" s="831">
        <f>I61/G61*100</f>
        <v>100</v>
      </c>
    </row>
    <row r="62" spans="1:11" s="150" customFormat="1" ht="30" customHeight="1" x14ac:dyDescent="0.25">
      <c r="A62" s="1213">
        <v>3313</v>
      </c>
      <c r="B62" s="1197" t="s">
        <v>564</v>
      </c>
      <c r="C62" s="1198"/>
      <c r="D62" s="715">
        <v>1000</v>
      </c>
      <c r="E62" s="716">
        <f t="shared" ref="E62:I62" si="13">SUM(E63:E63)</f>
        <v>1000</v>
      </c>
      <c r="F62" s="357">
        <v>1000</v>
      </c>
      <c r="G62" s="684">
        <f t="shared" si="13"/>
        <v>1000</v>
      </c>
      <c r="H62" s="717">
        <f t="shared" si="13"/>
        <v>1000</v>
      </c>
      <c r="I62" s="1021">
        <f t="shared" si="13"/>
        <v>1000</v>
      </c>
      <c r="J62" s="666">
        <f t="shared" si="7"/>
        <v>100</v>
      </c>
      <c r="K62" s="718">
        <f t="shared" si="5"/>
        <v>100</v>
      </c>
    </row>
    <row r="63" spans="1:11" s="150" customFormat="1" ht="15" customHeight="1" x14ac:dyDescent="0.25">
      <c r="A63" s="1214"/>
      <c r="B63" s="1042"/>
      <c r="C63" s="315" t="s">
        <v>432</v>
      </c>
      <c r="D63" s="73">
        <v>1000</v>
      </c>
      <c r="E63" s="316">
        <v>1000</v>
      </c>
      <c r="F63" s="358">
        <v>1000</v>
      </c>
      <c r="G63" s="75">
        <v>1000</v>
      </c>
      <c r="H63" s="83">
        <v>1000</v>
      </c>
      <c r="I63" s="1021">
        <v>1000</v>
      </c>
      <c r="J63" s="691">
        <f t="shared" si="7"/>
        <v>100</v>
      </c>
      <c r="K63" s="719">
        <f t="shared" si="5"/>
        <v>100</v>
      </c>
    </row>
    <row r="64" spans="1:11" s="459" customFormat="1" ht="20.100000000000001" customHeight="1" x14ac:dyDescent="0.25">
      <c r="A64" s="1213">
        <v>3319</v>
      </c>
      <c r="B64" s="1197" t="s">
        <v>316</v>
      </c>
      <c r="C64" s="1198"/>
      <c r="D64" s="715">
        <v>2700</v>
      </c>
      <c r="E64" s="716">
        <f>SUM(E65:E69)</f>
        <v>2191.1999999999998</v>
      </c>
      <c r="F64" s="357">
        <v>2700</v>
      </c>
      <c r="G64" s="684">
        <f t="shared" ref="G64:H64" si="14">SUM(G65:G69)</f>
        <v>2460</v>
      </c>
      <c r="H64" s="717">
        <f t="shared" si="14"/>
        <v>1700</v>
      </c>
      <c r="I64" s="1021">
        <f t="shared" ref="I64" si="15">SUM(I65:I69)</f>
        <v>2700</v>
      </c>
      <c r="J64" s="666">
        <f t="shared" si="7"/>
        <v>100</v>
      </c>
      <c r="K64" s="718">
        <f t="shared" si="5"/>
        <v>109.75609756097562</v>
      </c>
    </row>
    <row r="65" spans="1:12" s="852" customFormat="1" ht="15" customHeight="1" x14ac:dyDescent="0.25">
      <c r="A65" s="1215"/>
      <c r="B65" s="1217" t="s">
        <v>92</v>
      </c>
      <c r="C65" s="315" t="s">
        <v>196</v>
      </c>
      <c r="D65" s="79">
        <v>500</v>
      </c>
      <c r="E65" s="316">
        <v>600</v>
      </c>
      <c r="F65" s="358">
        <v>500</v>
      </c>
      <c r="G65" s="80">
        <v>500</v>
      </c>
      <c r="H65" s="81">
        <v>0</v>
      </c>
      <c r="I65" s="1023">
        <v>500</v>
      </c>
      <c r="J65" s="77">
        <f t="shared" si="7"/>
        <v>100</v>
      </c>
      <c r="K65" s="78">
        <f t="shared" si="5"/>
        <v>100</v>
      </c>
    </row>
    <row r="66" spans="1:12" s="592" customFormat="1" ht="15" customHeight="1" x14ac:dyDescent="0.25">
      <c r="A66" s="1215"/>
      <c r="B66" s="1218"/>
      <c r="C66" s="167" t="s">
        <v>197</v>
      </c>
      <c r="D66" s="79">
        <v>300</v>
      </c>
      <c r="E66" s="316">
        <v>0</v>
      </c>
      <c r="F66" s="358">
        <v>300</v>
      </c>
      <c r="G66" s="80">
        <v>70</v>
      </c>
      <c r="H66" s="81">
        <v>0</v>
      </c>
      <c r="I66" s="1023">
        <v>300</v>
      </c>
      <c r="J66" s="77">
        <f t="shared" si="7"/>
        <v>100</v>
      </c>
      <c r="K66" s="78">
        <f t="shared" si="5"/>
        <v>428.57142857142856</v>
      </c>
    </row>
    <row r="67" spans="1:12" s="592" customFormat="1" ht="15" customHeight="1" x14ac:dyDescent="0.25">
      <c r="A67" s="1215"/>
      <c r="B67" s="1218"/>
      <c r="C67" s="887" t="s">
        <v>354</v>
      </c>
      <c r="D67" s="79">
        <v>700</v>
      </c>
      <c r="E67" s="316">
        <v>700</v>
      </c>
      <c r="F67" s="358">
        <v>700</v>
      </c>
      <c r="G67" s="80">
        <v>700</v>
      </c>
      <c r="H67" s="81">
        <v>700</v>
      </c>
      <c r="I67" s="1023">
        <v>700</v>
      </c>
      <c r="J67" s="77">
        <f t="shared" si="7"/>
        <v>100</v>
      </c>
      <c r="K67" s="78">
        <f t="shared" si="5"/>
        <v>100</v>
      </c>
    </row>
    <row r="68" spans="1:12" s="592" customFormat="1" ht="15" customHeight="1" x14ac:dyDescent="0.25">
      <c r="A68" s="1215"/>
      <c r="B68" s="1218"/>
      <c r="C68" s="758" t="s">
        <v>568</v>
      </c>
      <c r="D68" s="73">
        <v>1000</v>
      </c>
      <c r="E68" s="316">
        <v>891.2</v>
      </c>
      <c r="F68" s="358">
        <v>1000</v>
      </c>
      <c r="G68" s="75">
        <v>1000</v>
      </c>
      <c r="H68" s="83">
        <v>1000</v>
      </c>
      <c r="I68" s="1022">
        <v>1000</v>
      </c>
      <c r="J68" s="77">
        <f t="shared" si="7"/>
        <v>100</v>
      </c>
      <c r="K68" s="78">
        <f t="shared" si="5"/>
        <v>100</v>
      </c>
    </row>
    <row r="69" spans="1:12" s="592" customFormat="1" ht="15" customHeight="1" x14ac:dyDescent="0.25">
      <c r="A69" s="1214"/>
      <c r="B69" s="1219"/>
      <c r="C69" s="594" t="s">
        <v>246</v>
      </c>
      <c r="D69" s="79">
        <v>200</v>
      </c>
      <c r="E69" s="316">
        <v>0</v>
      </c>
      <c r="F69" s="358">
        <v>200</v>
      </c>
      <c r="G69" s="80">
        <v>190</v>
      </c>
      <c r="H69" s="81">
        <v>0</v>
      </c>
      <c r="I69" s="1023">
        <v>200</v>
      </c>
      <c r="J69" s="77">
        <f t="shared" si="7"/>
        <v>100</v>
      </c>
      <c r="K69" s="78">
        <f t="shared" si="5"/>
        <v>105.26315789473684</v>
      </c>
    </row>
    <row r="70" spans="1:12" s="595" customFormat="1" ht="30.75" customHeight="1" x14ac:dyDescent="0.25">
      <c r="A70" s="1153">
        <v>3321</v>
      </c>
      <c r="B70" s="1147" t="s">
        <v>188</v>
      </c>
      <c r="C70" s="1148"/>
      <c r="D70" s="417">
        <f>SUM(D71:D74)</f>
        <v>21551</v>
      </c>
      <c r="E70" s="445">
        <f t="shared" ref="E70:I70" si="16">SUM(E71:E74)</f>
        <v>22256</v>
      </c>
      <c r="F70" s="397">
        <f t="shared" si="16"/>
        <v>23521</v>
      </c>
      <c r="G70" s="419">
        <f t="shared" si="16"/>
        <v>24342.49</v>
      </c>
      <c r="H70" s="426">
        <f t="shared" si="16"/>
        <v>18412.550000000003</v>
      </c>
      <c r="I70" s="1020">
        <f t="shared" si="16"/>
        <v>25083</v>
      </c>
      <c r="J70" s="400">
        <f t="shared" si="7"/>
        <v>106.64087411249521</v>
      </c>
      <c r="K70" s="401">
        <f t="shared" si="5"/>
        <v>103.04204705434816</v>
      </c>
    </row>
    <row r="71" spans="1:12" s="87" customFormat="1" ht="15" customHeight="1" x14ac:dyDescent="0.25">
      <c r="A71" s="1154"/>
      <c r="B71" s="1217" t="s">
        <v>92</v>
      </c>
      <c r="C71" s="565" t="s">
        <v>124</v>
      </c>
      <c r="D71" s="73">
        <v>213</v>
      </c>
      <c r="E71" s="316">
        <v>213</v>
      </c>
      <c r="F71" s="358">
        <v>213</v>
      </c>
      <c r="G71" s="75">
        <v>213</v>
      </c>
      <c r="H71" s="83">
        <v>159.75</v>
      </c>
      <c r="I71" s="1022">
        <v>213</v>
      </c>
      <c r="J71" s="126">
        <f>I71/F71*100</f>
        <v>100</v>
      </c>
      <c r="K71" s="72">
        <f>I71/G71*100</f>
        <v>100</v>
      </c>
    </row>
    <row r="72" spans="1:12" s="87" customFormat="1" ht="15" customHeight="1" x14ac:dyDescent="0.25">
      <c r="A72" s="1154"/>
      <c r="B72" s="1218"/>
      <c r="C72" s="565" t="s">
        <v>346</v>
      </c>
      <c r="D72" s="79">
        <v>19807</v>
      </c>
      <c r="E72" s="316">
        <v>20512</v>
      </c>
      <c r="F72" s="358">
        <v>21777</v>
      </c>
      <c r="G72" s="80">
        <v>22598.49</v>
      </c>
      <c r="H72" s="81">
        <v>17104.560000000001</v>
      </c>
      <c r="I72" s="1023">
        <v>24107</v>
      </c>
      <c r="J72" s="126">
        <f>I72/F72*100</f>
        <v>110.69936171189786</v>
      </c>
      <c r="K72" s="72">
        <f>I72/G72*100</f>
        <v>106.6752690113366</v>
      </c>
    </row>
    <row r="73" spans="1:12" s="87" customFormat="1" ht="15" customHeight="1" x14ac:dyDescent="0.25">
      <c r="A73" s="1154"/>
      <c r="B73" s="1218"/>
      <c r="C73" s="685" t="s">
        <v>125</v>
      </c>
      <c r="D73" s="73">
        <v>44</v>
      </c>
      <c r="E73" s="316">
        <v>44</v>
      </c>
      <c r="F73" s="358">
        <v>44</v>
      </c>
      <c r="G73" s="75">
        <v>44</v>
      </c>
      <c r="H73" s="83">
        <v>32.99</v>
      </c>
      <c r="I73" s="1022">
        <v>44</v>
      </c>
      <c r="J73" s="126">
        <f>I73/F73*100</f>
        <v>100</v>
      </c>
      <c r="K73" s="72">
        <f>I73/G73*100</f>
        <v>100</v>
      </c>
    </row>
    <row r="74" spans="1:12" s="87" customFormat="1" ht="15" customHeight="1" x14ac:dyDescent="0.25">
      <c r="A74" s="1154"/>
      <c r="B74" s="1218"/>
      <c r="C74" s="565" t="s">
        <v>378</v>
      </c>
      <c r="D74" s="82">
        <v>1487</v>
      </c>
      <c r="E74" s="81">
        <v>1487</v>
      </c>
      <c r="F74" s="82">
        <v>1487</v>
      </c>
      <c r="G74" s="356">
        <v>1487</v>
      </c>
      <c r="H74" s="83">
        <v>1115.25</v>
      </c>
      <c r="I74" s="1023">
        <v>719</v>
      </c>
      <c r="J74" s="126">
        <f t="shared" si="7"/>
        <v>48.35238735709482</v>
      </c>
      <c r="K74" s="72">
        <f t="shared" si="5"/>
        <v>48.35238735709482</v>
      </c>
    </row>
    <row r="75" spans="1:12" s="410" customFormat="1" ht="20.100000000000001" customHeight="1" thickBot="1" x14ac:dyDescent="0.3">
      <c r="A75" s="428">
        <v>3321</v>
      </c>
      <c r="B75" s="591" t="s">
        <v>189</v>
      </c>
      <c r="C75" s="690"/>
      <c r="D75" s="395">
        <v>5000</v>
      </c>
      <c r="E75" s="445">
        <v>5000</v>
      </c>
      <c r="F75" s="397">
        <v>5000</v>
      </c>
      <c r="G75" s="398">
        <v>5000</v>
      </c>
      <c r="H75" s="399">
        <v>0</v>
      </c>
      <c r="I75" s="1024">
        <v>5000</v>
      </c>
      <c r="J75" s="400">
        <f t="shared" si="7"/>
        <v>100</v>
      </c>
      <c r="K75" s="401">
        <f t="shared" si="5"/>
        <v>100</v>
      </c>
    </row>
    <row r="76" spans="1:12" s="89" customFormat="1" ht="20.100000000000001" customHeight="1" thickBot="1" x14ac:dyDescent="0.3">
      <c r="A76" s="169"/>
      <c r="B76" s="170" t="s">
        <v>82</v>
      </c>
      <c r="C76" s="545"/>
      <c r="D76" s="169">
        <f>+SUM(D9:D15)+D21+D22+D27+SUM(D34:D34)+SUM(D38:D43)+D48+SUM(D52:D52)+SUM(D55:D58)+D70+SUM(D75:D75)</f>
        <v>548576</v>
      </c>
      <c r="E76" s="185">
        <f>+SUM(E9:E15)+E21+E22+E27+SUM(E34:E34)+SUM(E38:E43)+E48+E52+SUM(E55:E58)+E70+SUM(E75:E75)</f>
        <v>572591.75999999989</v>
      </c>
      <c r="F76" s="545">
        <f>+SUM(F9:F15)+F21+F22+F27+SUM(F34:F34)+SUM(F38:F43)+F48+SUM(F52:F52)+SUM(F55:F58)+F70+SUM(F75:F75)</f>
        <v>592503</v>
      </c>
      <c r="G76" s="185">
        <f>+SUM(G9:G15)+G21+G22+G27+SUM(G34:G34)+SUM(G38:G43)+G48+SUM(G52:G52)+SUM(G55:G58)+G70+SUM(G75:G75)</f>
        <v>627234.7699999999</v>
      </c>
      <c r="H76" s="546">
        <f>+SUM(H9:H15)+H21+H22+H27+SUM(H34:H34)+SUM(H38:H43)+H48+SUM(H52:H52)+SUM(H55:H58)+H70+SUM(H75:H75)</f>
        <v>472052.26</v>
      </c>
      <c r="I76" s="872">
        <f>+SUM(I9:I15)+I21+I22+I27+SUM(I34:I34)+SUM(I38:I43)+I48+SUM(I52:I52)+SUM(I55:I58)+I70+SUM(I75:I75)</f>
        <v>615650</v>
      </c>
      <c r="J76" s="543">
        <f t="shared" si="7"/>
        <v>103.90664688617611</v>
      </c>
      <c r="K76" s="544">
        <f t="shared" si="5"/>
        <v>98.15304084625285</v>
      </c>
      <c r="L76" s="68"/>
    </row>
    <row r="77" spans="1:12" ht="15" customHeight="1" x14ac:dyDescent="0.25">
      <c r="A77" s="69"/>
      <c r="B77" s="69"/>
      <c r="C77" s="69"/>
      <c r="D77" s="155"/>
      <c r="E77" s="162"/>
      <c r="F77" s="155"/>
      <c r="G77" s="163"/>
      <c r="H77" s="163"/>
      <c r="I77" s="586"/>
      <c r="J77" s="596"/>
      <c r="K77" s="117"/>
    </row>
    <row r="78" spans="1:12" x14ac:dyDescent="0.25">
      <c r="D78" s="138"/>
      <c r="F78" s="138"/>
      <c r="I78" s="138"/>
      <c r="J78" s="888"/>
    </row>
    <row r="79" spans="1:12" x14ac:dyDescent="0.25">
      <c r="D79" s="138"/>
      <c r="F79" s="138"/>
      <c r="I79" s="138"/>
      <c r="J79" s="908"/>
    </row>
    <row r="80" spans="1:12" x14ac:dyDescent="0.25">
      <c r="I80" s="138"/>
    </row>
    <row r="81" spans="9:9" x14ac:dyDescent="0.25">
      <c r="I81" s="138"/>
    </row>
  </sheetData>
  <mergeCells count="58">
    <mergeCell ref="A22:A26"/>
    <mergeCell ref="B22:C22"/>
    <mergeCell ref="B36:C36"/>
    <mergeCell ref="B21:C21"/>
    <mergeCell ref="B11:C11"/>
    <mergeCell ref="B14:C14"/>
    <mergeCell ref="B15:C15"/>
    <mergeCell ref="B16:B20"/>
    <mergeCell ref="B23:B26"/>
    <mergeCell ref="B9:C9"/>
    <mergeCell ref="B12:C12"/>
    <mergeCell ref="B13:C13"/>
    <mergeCell ref="A15:A20"/>
    <mergeCell ref="B10:C10"/>
    <mergeCell ref="A2:K2"/>
    <mergeCell ref="G4:H4"/>
    <mergeCell ref="K6:K7"/>
    <mergeCell ref="B6:C7"/>
    <mergeCell ref="J6:J7"/>
    <mergeCell ref="A6:A7"/>
    <mergeCell ref="D6:E6"/>
    <mergeCell ref="F6:H6"/>
    <mergeCell ref="I6:I7"/>
    <mergeCell ref="A43:A47"/>
    <mergeCell ref="B35:C35"/>
    <mergeCell ref="B39:C39"/>
    <mergeCell ref="A27:A33"/>
    <mergeCell ref="B28:B33"/>
    <mergeCell ref="B41:C41"/>
    <mergeCell ref="B40:C40"/>
    <mergeCell ref="B27:C27"/>
    <mergeCell ref="B38:C38"/>
    <mergeCell ref="B70:C70"/>
    <mergeCell ref="B49:C49"/>
    <mergeCell ref="A34:C34"/>
    <mergeCell ref="A58:C58"/>
    <mergeCell ref="B37:C37"/>
    <mergeCell ref="B44:B47"/>
    <mergeCell ref="A70:A74"/>
    <mergeCell ref="B71:B74"/>
    <mergeCell ref="B53:C53"/>
    <mergeCell ref="B54:C54"/>
    <mergeCell ref="B43:C43"/>
    <mergeCell ref="B42:C42"/>
    <mergeCell ref="B65:B69"/>
    <mergeCell ref="B57:C57"/>
    <mergeCell ref="B56:C56"/>
    <mergeCell ref="A48:C48"/>
    <mergeCell ref="A62:A63"/>
    <mergeCell ref="B62:C62"/>
    <mergeCell ref="B50:C50"/>
    <mergeCell ref="A64:A69"/>
    <mergeCell ref="B64:C64"/>
    <mergeCell ref="B60:B61"/>
    <mergeCell ref="B55:C55"/>
    <mergeCell ref="A52:C52"/>
    <mergeCell ref="A59:A61"/>
    <mergeCell ref="B59:C59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55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K28"/>
  <sheetViews>
    <sheetView workbookViewId="0">
      <selection activeCell="C1" sqref="C1"/>
    </sheetView>
  </sheetViews>
  <sheetFormatPr defaultColWidth="9.109375" defaultRowHeight="13.8" x14ac:dyDescent="0.25"/>
  <cols>
    <col min="1" max="1" width="7.6640625" style="66" customWidth="1"/>
    <col min="2" max="2" width="6.6640625" style="66" customWidth="1"/>
    <col min="3" max="3" width="40.6640625" style="71" customWidth="1"/>
    <col min="4" max="4" width="14.109375" style="138" customWidth="1"/>
    <col min="5" max="5" width="13.88671875" style="71" customWidth="1"/>
    <col min="6" max="6" width="14.6640625" style="138" customWidth="1"/>
    <col min="7" max="7" width="16.5546875" style="138" customWidth="1"/>
    <col min="8" max="8" width="14.6640625" style="71" customWidth="1"/>
    <col min="9" max="9" width="14.6640625" style="732" customWidth="1"/>
    <col min="10" max="10" width="9.6640625" style="139" customWidth="1"/>
    <col min="11" max="11" width="9.6640625" style="66" customWidth="1"/>
    <col min="12" max="16384" width="9.109375" style="66"/>
  </cols>
  <sheetData>
    <row r="1" spans="1:11" ht="15" customHeight="1" x14ac:dyDescent="0.25">
      <c r="C1" s="71" t="s">
        <v>574</v>
      </c>
      <c r="J1" s="140"/>
    </row>
    <row r="2" spans="1:11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</row>
    <row r="3" spans="1:11" ht="15" customHeight="1" x14ac:dyDescent="0.25"/>
    <row r="4" spans="1:11" ht="20.100000000000001" customHeight="1" x14ac:dyDescent="0.25">
      <c r="A4" s="67" t="s">
        <v>203</v>
      </c>
      <c r="I4" s="735"/>
    </row>
    <row r="5" spans="1:11" ht="15" customHeight="1" thickBot="1" x14ac:dyDescent="0.3">
      <c r="A5" s="67"/>
      <c r="J5" s="66"/>
      <c r="K5" s="141" t="s">
        <v>0</v>
      </c>
    </row>
    <row r="6" spans="1:11" s="142" customFormat="1" ht="15.9" customHeight="1" x14ac:dyDescent="0.25">
      <c r="A6" s="1159" t="s">
        <v>85</v>
      </c>
      <c r="B6" s="1165" t="s">
        <v>97</v>
      </c>
      <c r="C6" s="1166"/>
      <c r="D6" s="1060" t="s">
        <v>402</v>
      </c>
      <c r="E6" s="1061"/>
      <c r="F6" s="1060" t="s">
        <v>450</v>
      </c>
      <c r="G6" s="1064"/>
      <c r="H6" s="1061"/>
      <c r="I6" s="1169" t="s">
        <v>507</v>
      </c>
      <c r="J6" s="1161" t="s">
        <v>508</v>
      </c>
      <c r="K6" s="1163" t="s">
        <v>509</v>
      </c>
    </row>
    <row r="7" spans="1:11" s="142" customFormat="1" ht="30.9" customHeight="1" thickBot="1" x14ac:dyDescent="0.3">
      <c r="A7" s="1160"/>
      <c r="B7" s="1167"/>
      <c r="C7" s="1168"/>
      <c r="D7" s="236" t="s">
        <v>103</v>
      </c>
      <c r="E7" s="835" t="s">
        <v>520</v>
      </c>
      <c r="F7" s="236" t="s">
        <v>103</v>
      </c>
      <c r="G7" s="237" t="s">
        <v>556</v>
      </c>
      <c r="H7" s="238" t="s">
        <v>555</v>
      </c>
      <c r="I7" s="1170"/>
      <c r="J7" s="1162"/>
      <c r="K7" s="1164"/>
    </row>
    <row r="8" spans="1:11" s="68" customFormat="1" ht="20.100000000000001" customHeight="1" thickBot="1" x14ac:dyDescent="0.3">
      <c r="B8" s="143" t="s">
        <v>98</v>
      </c>
      <c r="C8" s="144"/>
      <c r="D8" s="145"/>
      <c r="E8" s="144"/>
      <c r="F8" s="146"/>
      <c r="G8" s="146"/>
      <c r="H8" s="147"/>
      <c r="I8" s="698"/>
      <c r="J8" s="148"/>
    </row>
    <row r="9" spans="1:11" s="410" customFormat="1" ht="20.100000000000001" customHeight="1" x14ac:dyDescent="0.25">
      <c r="A9" s="430">
        <v>3513</v>
      </c>
      <c r="B9" s="1155" t="s">
        <v>199</v>
      </c>
      <c r="C9" s="1156"/>
      <c r="D9" s="377">
        <v>45000</v>
      </c>
      <c r="E9" s="1043">
        <v>42957.8</v>
      </c>
      <c r="F9" s="377">
        <v>45000</v>
      </c>
      <c r="G9" s="411">
        <v>45693.62</v>
      </c>
      <c r="H9" s="437">
        <v>42868.4</v>
      </c>
      <c r="I9" s="1025">
        <v>10000</v>
      </c>
      <c r="J9" s="1044">
        <f t="shared" ref="J9:J22" si="0">I9/F9*100</f>
        <v>22.222222222222221</v>
      </c>
      <c r="K9" s="1045">
        <f t="shared" ref="K9:K22" si="1">I9/G9*100</f>
        <v>21.88489333959533</v>
      </c>
    </row>
    <row r="10" spans="1:11" s="410" customFormat="1" ht="30" customHeight="1" x14ac:dyDescent="0.25">
      <c r="A10" s="1153">
        <v>3529</v>
      </c>
      <c r="B10" s="1147" t="s">
        <v>211</v>
      </c>
      <c r="C10" s="1148"/>
      <c r="D10" s="450">
        <f t="shared" ref="D10:I10" si="2">SUM(D11:D14)</f>
        <v>159675</v>
      </c>
      <c r="E10" s="413">
        <f t="shared" si="2"/>
        <v>157050</v>
      </c>
      <c r="F10" s="450">
        <f t="shared" si="2"/>
        <v>102411</v>
      </c>
      <c r="G10" s="452">
        <f t="shared" si="2"/>
        <v>106829.84</v>
      </c>
      <c r="H10" s="452">
        <f t="shared" si="2"/>
        <v>81226.73000000001</v>
      </c>
      <c r="I10" s="956">
        <f t="shared" si="2"/>
        <v>98446</v>
      </c>
      <c r="J10" s="451">
        <f t="shared" si="0"/>
        <v>96.128345587876311</v>
      </c>
      <c r="K10" s="401">
        <f t="shared" si="1"/>
        <v>92.152155240520813</v>
      </c>
    </row>
    <row r="11" spans="1:11" ht="15" customHeight="1" x14ac:dyDescent="0.25">
      <c r="A11" s="1154"/>
      <c r="B11" s="1217" t="s">
        <v>92</v>
      </c>
      <c r="C11" s="565" t="s">
        <v>124</v>
      </c>
      <c r="D11" s="82">
        <v>6038</v>
      </c>
      <c r="E11" s="92">
        <v>7700.6</v>
      </c>
      <c r="F11" s="82">
        <v>700</v>
      </c>
      <c r="G11" s="356">
        <v>700</v>
      </c>
      <c r="H11" s="94">
        <v>524.97</v>
      </c>
      <c r="I11" s="957">
        <v>0</v>
      </c>
      <c r="J11" s="124">
        <f>I11/F11*100</f>
        <v>0</v>
      </c>
      <c r="K11" s="78">
        <f>I11/G11*100</f>
        <v>0</v>
      </c>
    </row>
    <row r="12" spans="1:11" ht="15" customHeight="1" x14ac:dyDescent="0.25">
      <c r="A12" s="1154"/>
      <c r="B12" s="1218"/>
      <c r="C12" s="565" t="s">
        <v>346</v>
      </c>
      <c r="D12" s="82">
        <v>144481</v>
      </c>
      <c r="E12" s="92">
        <v>140393.4</v>
      </c>
      <c r="F12" s="82">
        <v>97091</v>
      </c>
      <c r="G12" s="356">
        <v>101509.84</v>
      </c>
      <c r="H12" s="94">
        <v>77237.03</v>
      </c>
      <c r="I12" s="957">
        <v>96596</v>
      </c>
      <c r="J12" s="124">
        <f>I12/F12*100</f>
        <v>99.490169016695674</v>
      </c>
      <c r="K12" s="78">
        <f>I12/G12*100</f>
        <v>95.159247615797653</v>
      </c>
    </row>
    <row r="13" spans="1:11" ht="15" customHeight="1" x14ac:dyDescent="0.25">
      <c r="A13" s="1154"/>
      <c r="B13" s="1218"/>
      <c r="C13" s="565" t="s">
        <v>125</v>
      </c>
      <c r="D13" s="82">
        <v>2931</v>
      </c>
      <c r="E13" s="92">
        <v>2731</v>
      </c>
      <c r="F13" s="82">
        <v>900</v>
      </c>
      <c r="G13" s="356">
        <v>900</v>
      </c>
      <c r="H13" s="94">
        <v>674.91</v>
      </c>
      <c r="I13" s="957">
        <v>0</v>
      </c>
      <c r="J13" s="124">
        <f>I13/F13*100</f>
        <v>0</v>
      </c>
      <c r="K13" s="78">
        <f>I13/G13*100</f>
        <v>0</v>
      </c>
    </row>
    <row r="14" spans="1:11" ht="15" customHeight="1" x14ac:dyDescent="0.25">
      <c r="A14" s="1154"/>
      <c r="B14" s="1218"/>
      <c r="C14" s="565" t="s">
        <v>378</v>
      </c>
      <c r="D14" s="82">
        <v>6225</v>
      </c>
      <c r="E14" s="81">
        <v>6225</v>
      </c>
      <c r="F14" s="82">
        <v>3720</v>
      </c>
      <c r="G14" s="356">
        <v>3720</v>
      </c>
      <c r="H14" s="94">
        <v>2789.82</v>
      </c>
      <c r="I14" s="957">
        <v>1850</v>
      </c>
      <c r="J14" s="124">
        <f t="shared" si="0"/>
        <v>49.731182795698928</v>
      </c>
      <c r="K14" s="78">
        <f t="shared" si="1"/>
        <v>49.731182795698928</v>
      </c>
    </row>
    <row r="15" spans="1:11" s="410" customFormat="1" ht="30" customHeight="1" x14ac:dyDescent="0.25">
      <c r="A15" s="1153">
        <v>3533</v>
      </c>
      <c r="B15" s="1147" t="s">
        <v>200</v>
      </c>
      <c r="C15" s="1148"/>
      <c r="D15" s="450">
        <f t="shared" ref="D15:I15" si="3">SUM(D16:D19)</f>
        <v>572218</v>
      </c>
      <c r="E15" s="413">
        <f t="shared" si="3"/>
        <v>543309.66999999993</v>
      </c>
      <c r="F15" s="450">
        <f t="shared" si="3"/>
        <v>591218</v>
      </c>
      <c r="G15" s="452">
        <f t="shared" si="3"/>
        <v>753382.6</v>
      </c>
      <c r="H15" s="452">
        <f t="shared" si="3"/>
        <v>654846.19999999995</v>
      </c>
      <c r="I15" s="956">
        <f t="shared" si="3"/>
        <v>851557</v>
      </c>
      <c r="J15" s="451">
        <f t="shared" si="0"/>
        <v>144.03434942779143</v>
      </c>
      <c r="K15" s="454">
        <f t="shared" si="1"/>
        <v>113.03114778599878</v>
      </c>
    </row>
    <row r="16" spans="1:11" ht="15" customHeight="1" x14ac:dyDescent="0.25">
      <c r="A16" s="1154"/>
      <c r="B16" s="1217" t="s">
        <v>92</v>
      </c>
      <c r="C16" s="565" t="s">
        <v>124</v>
      </c>
      <c r="D16" s="82">
        <v>0</v>
      </c>
      <c r="E16" s="92">
        <v>0</v>
      </c>
      <c r="F16" s="82">
        <v>0</v>
      </c>
      <c r="G16" s="757">
        <v>0</v>
      </c>
      <c r="H16" s="74">
        <v>0</v>
      </c>
      <c r="I16" s="957">
        <v>0</v>
      </c>
      <c r="J16" s="124" t="s">
        <v>58</v>
      </c>
      <c r="K16" s="78" t="s">
        <v>58</v>
      </c>
    </row>
    <row r="17" spans="1:11" ht="15" customHeight="1" x14ac:dyDescent="0.25">
      <c r="A17" s="1154"/>
      <c r="B17" s="1218"/>
      <c r="C17" s="565" t="s">
        <v>346</v>
      </c>
      <c r="D17" s="82">
        <v>562304</v>
      </c>
      <c r="E17" s="92">
        <v>532403.59</v>
      </c>
      <c r="F17" s="82">
        <v>581304</v>
      </c>
      <c r="G17" s="757">
        <v>740733.19</v>
      </c>
      <c r="H17" s="74">
        <v>643849.18999999994</v>
      </c>
      <c r="I17" s="957">
        <v>842643</v>
      </c>
      <c r="J17" s="124">
        <f>I17/F17*100</f>
        <v>144.95737170224186</v>
      </c>
      <c r="K17" s="78">
        <f>I17/G17*100</f>
        <v>113.75796459181207</v>
      </c>
    </row>
    <row r="18" spans="1:11" ht="15" customHeight="1" x14ac:dyDescent="0.25">
      <c r="A18" s="1154"/>
      <c r="B18" s="1218"/>
      <c r="C18" s="565" t="s">
        <v>125</v>
      </c>
      <c r="D18" s="82">
        <v>0</v>
      </c>
      <c r="E18" s="74">
        <v>0</v>
      </c>
      <c r="F18" s="82">
        <v>0</v>
      </c>
      <c r="G18" s="757">
        <v>0</v>
      </c>
      <c r="H18" s="74">
        <v>0</v>
      </c>
      <c r="I18" s="957">
        <v>0</v>
      </c>
      <c r="J18" s="124" t="s">
        <v>58</v>
      </c>
      <c r="K18" s="78" t="s">
        <v>58</v>
      </c>
    </row>
    <row r="19" spans="1:11" ht="15" customHeight="1" x14ac:dyDescent="0.25">
      <c r="A19" s="1154"/>
      <c r="B19" s="1218"/>
      <c r="C19" s="565" t="s">
        <v>378</v>
      </c>
      <c r="D19" s="82">
        <v>9914</v>
      </c>
      <c r="E19" s="81">
        <v>10906.08</v>
      </c>
      <c r="F19" s="82">
        <v>9914</v>
      </c>
      <c r="G19" s="757">
        <v>12649.41</v>
      </c>
      <c r="H19" s="74">
        <v>10997.01</v>
      </c>
      <c r="I19" s="957">
        <v>8914</v>
      </c>
      <c r="J19" s="124">
        <f t="shared" si="0"/>
        <v>89.913253984264671</v>
      </c>
      <c r="K19" s="78">
        <f t="shared" si="1"/>
        <v>70.469689890674744</v>
      </c>
    </row>
    <row r="20" spans="1:11" s="410" customFormat="1" ht="20.100000000000001" customHeight="1" x14ac:dyDescent="0.25">
      <c r="A20" s="428">
        <v>3599</v>
      </c>
      <c r="B20" s="1147" t="s">
        <v>201</v>
      </c>
      <c r="C20" s="1148"/>
      <c r="D20" s="450">
        <v>6049</v>
      </c>
      <c r="E20" s="418">
        <v>5912.48</v>
      </c>
      <c r="F20" s="450">
        <v>6499</v>
      </c>
      <c r="G20" s="448">
        <v>10390.459999999999</v>
      </c>
      <c r="H20" s="420">
        <v>4920.7700000000004</v>
      </c>
      <c r="I20" s="956">
        <v>9620</v>
      </c>
      <c r="J20" s="451">
        <f t="shared" si="0"/>
        <v>148.02277273426679</v>
      </c>
      <c r="K20" s="401">
        <f t="shared" si="1"/>
        <v>92.584928867441874</v>
      </c>
    </row>
    <row r="21" spans="1:11" s="410" customFormat="1" ht="30" customHeight="1" thickBot="1" x14ac:dyDescent="0.3">
      <c r="A21" s="428">
        <v>3599</v>
      </c>
      <c r="B21" s="1147" t="s">
        <v>202</v>
      </c>
      <c r="C21" s="1148"/>
      <c r="D21" s="450">
        <v>32830</v>
      </c>
      <c r="E21" s="418">
        <v>32830</v>
      </c>
      <c r="F21" s="450">
        <v>9885</v>
      </c>
      <c r="G21" s="448">
        <v>9885</v>
      </c>
      <c r="H21" s="420">
        <v>9885</v>
      </c>
      <c r="I21" s="956">
        <v>10738</v>
      </c>
      <c r="J21" s="451">
        <f t="shared" si="0"/>
        <v>108.62923621648963</v>
      </c>
      <c r="K21" s="401">
        <f t="shared" si="1"/>
        <v>108.62923621648963</v>
      </c>
    </row>
    <row r="22" spans="1:11" ht="20.100000000000001" customHeight="1" thickBot="1" x14ac:dyDescent="0.3">
      <c r="A22" s="174"/>
      <c r="B22" s="348" t="s">
        <v>82</v>
      </c>
      <c r="C22" s="569"/>
      <c r="D22" s="169">
        <f t="shared" ref="D22:I22" si="4">SUM(D9:D10)+SUM(D15:D15)+SUM(D20:D21)</f>
        <v>815772</v>
      </c>
      <c r="E22" s="185">
        <f t="shared" si="4"/>
        <v>782059.95</v>
      </c>
      <c r="F22" s="545">
        <f t="shared" si="4"/>
        <v>755013</v>
      </c>
      <c r="G22" s="185">
        <f t="shared" si="4"/>
        <v>926181.5199999999</v>
      </c>
      <c r="H22" s="546">
        <f t="shared" si="4"/>
        <v>793747.1</v>
      </c>
      <c r="I22" s="872">
        <f t="shared" si="4"/>
        <v>980361</v>
      </c>
      <c r="J22" s="188">
        <f t="shared" si="0"/>
        <v>129.84690329835379</v>
      </c>
      <c r="K22" s="173">
        <f t="shared" si="1"/>
        <v>105.84976906038894</v>
      </c>
    </row>
    <row r="23" spans="1:11" ht="14.4" x14ac:dyDescent="0.25">
      <c r="A23" s="69"/>
      <c r="B23" s="69"/>
      <c r="C23" s="442"/>
      <c r="D23" s="442"/>
      <c r="E23" s="585"/>
      <c r="F23" s="116"/>
      <c r="G23" s="586"/>
      <c r="H23" s="586"/>
      <c r="I23" s="587"/>
      <c r="J23" s="117"/>
      <c r="K23" s="306"/>
    </row>
    <row r="24" spans="1:11" x14ac:dyDescent="0.25">
      <c r="E24" s="138"/>
      <c r="H24" s="138"/>
      <c r="I24" s="138"/>
    </row>
    <row r="25" spans="1:11" x14ac:dyDescent="0.25">
      <c r="E25" s="138"/>
      <c r="H25" s="138"/>
      <c r="I25" s="138"/>
      <c r="J25" s="908"/>
    </row>
    <row r="26" spans="1:11" x14ac:dyDescent="0.25">
      <c r="I26" s="138"/>
    </row>
    <row r="27" spans="1:11" x14ac:dyDescent="0.25">
      <c r="I27" s="138"/>
    </row>
    <row r="28" spans="1:11" x14ac:dyDescent="0.25">
      <c r="I28" s="138"/>
    </row>
  </sheetData>
  <mergeCells count="17">
    <mergeCell ref="A2:K2"/>
    <mergeCell ref="B20:C20"/>
    <mergeCell ref="K6:K7"/>
    <mergeCell ref="B9:C9"/>
    <mergeCell ref="J6:J7"/>
    <mergeCell ref="F6:H6"/>
    <mergeCell ref="I6:I7"/>
    <mergeCell ref="B16:B19"/>
    <mergeCell ref="A10:A14"/>
    <mergeCell ref="A15:A19"/>
    <mergeCell ref="B11:B14"/>
    <mergeCell ref="B15:C15"/>
    <mergeCell ref="B10:C10"/>
    <mergeCell ref="A6:A7"/>
    <mergeCell ref="B6:C7"/>
    <mergeCell ref="D6:E6"/>
    <mergeCell ref="B21:C21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56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L29"/>
  <sheetViews>
    <sheetView workbookViewId="0">
      <selection activeCell="C1" sqref="C1"/>
    </sheetView>
  </sheetViews>
  <sheetFormatPr defaultColWidth="9.109375" defaultRowHeight="13.8" x14ac:dyDescent="0.3"/>
  <cols>
    <col min="1" max="1" width="7.6640625" style="1" customWidth="1"/>
    <col min="2" max="2" width="6.6640625" style="1" customWidth="1"/>
    <col min="3" max="3" width="40.6640625" style="1" customWidth="1"/>
    <col min="4" max="4" width="14.6640625" style="2" customWidth="1"/>
    <col min="5" max="5" width="14.6640625" style="3" customWidth="1"/>
    <col min="6" max="6" width="14.6640625" style="2" customWidth="1"/>
    <col min="7" max="7" width="16.33203125" style="3" customWidth="1"/>
    <col min="8" max="8" width="14.6640625" style="3" customWidth="1"/>
    <col min="9" max="9" width="14.6640625" style="697" customWidth="1"/>
    <col min="10" max="11" width="9.6640625" style="5" customWidth="1"/>
    <col min="12" max="12" width="11" style="1" customWidth="1"/>
    <col min="13" max="16384" width="9.109375" style="1"/>
  </cols>
  <sheetData>
    <row r="1" spans="1:12" ht="14.4" x14ac:dyDescent="0.3">
      <c r="C1" s="1" t="s">
        <v>574</v>
      </c>
      <c r="K1" s="6"/>
    </row>
    <row r="2" spans="1:12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  <c r="L2" s="29"/>
    </row>
    <row r="3" spans="1:12" ht="15" customHeight="1" x14ac:dyDescent="0.3"/>
    <row r="4" spans="1:12" ht="20.100000000000001" customHeight="1" x14ac:dyDescent="0.35">
      <c r="A4" s="7" t="s">
        <v>171</v>
      </c>
      <c r="J4" s="8"/>
    </row>
    <row r="5" spans="1:12" ht="15" customHeight="1" thickBot="1" x14ac:dyDescent="0.4">
      <c r="A5" s="7"/>
      <c r="K5" s="8" t="s">
        <v>0</v>
      </c>
    </row>
    <row r="6" spans="1:12" s="62" customFormat="1" ht="15.9" customHeight="1" x14ac:dyDescent="0.2">
      <c r="A6" s="1159" t="s">
        <v>85</v>
      </c>
      <c r="B6" s="1165" t="s">
        <v>97</v>
      </c>
      <c r="C6" s="1166"/>
      <c r="D6" s="1060" t="s">
        <v>402</v>
      </c>
      <c r="E6" s="1061"/>
      <c r="F6" s="1060" t="s">
        <v>450</v>
      </c>
      <c r="G6" s="1064"/>
      <c r="H6" s="1061"/>
      <c r="I6" s="1169" t="s">
        <v>507</v>
      </c>
      <c r="J6" s="1161" t="s">
        <v>508</v>
      </c>
      <c r="K6" s="1163" t="s">
        <v>509</v>
      </c>
    </row>
    <row r="7" spans="1:12" s="62" customFormat="1" ht="30.9" customHeight="1" thickBot="1" x14ac:dyDescent="0.25">
      <c r="A7" s="1160"/>
      <c r="B7" s="1167"/>
      <c r="C7" s="1168"/>
      <c r="D7" s="236" t="s">
        <v>103</v>
      </c>
      <c r="E7" s="835" t="s">
        <v>520</v>
      </c>
      <c r="F7" s="236" t="s">
        <v>103</v>
      </c>
      <c r="G7" s="237" t="s">
        <v>556</v>
      </c>
      <c r="H7" s="238" t="s">
        <v>555</v>
      </c>
      <c r="I7" s="1170"/>
      <c r="J7" s="1162"/>
      <c r="K7" s="1164"/>
    </row>
    <row r="8" spans="1:12" s="9" customFormat="1" ht="20.100000000000001" customHeight="1" thickBot="1" x14ac:dyDescent="0.35">
      <c r="B8" s="10" t="s">
        <v>98</v>
      </c>
      <c r="C8" s="10"/>
      <c r="D8" s="11"/>
      <c r="E8" s="12"/>
      <c r="F8" s="11"/>
      <c r="G8" s="13"/>
      <c r="H8" s="13"/>
      <c r="I8" s="239"/>
      <c r="J8" s="16"/>
      <c r="K8" s="16"/>
    </row>
    <row r="9" spans="1:12" s="447" customFormat="1" ht="30" customHeight="1" x14ac:dyDescent="0.3">
      <c r="A9" s="787">
        <v>2143</v>
      </c>
      <c r="B9" s="1155" t="s">
        <v>172</v>
      </c>
      <c r="C9" s="1156"/>
      <c r="D9" s="377">
        <v>500</v>
      </c>
      <c r="E9" s="487">
        <v>0</v>
      </c>
      <c r="F9" s="412">
        <v>0</v>
      </c>
      <c r="G9" s="494">
        <v>0</v>
      </c>
      <c r="H9" s="380">
        <v>0</v>
      </c>
      <c r="I9" s="955">
        <v>0</v>
      </c>
      <c r="J9" s="382" t="s">
        <v>58</v>
      </c>
      <c r="K9" s="383" t="s">
        <v>58</v>
      </c>
    </row>
    <row r="10" spans="1:12" s="447" customFormat="1" ht="20.100000000000001" customHeight="1" x14ac:dyDescent="0.3">
      <c r="A10" s="428">
        <v>2143</v>
      </c>
      <c r="B10" s="1149" t="s">
        <v>173</v>
      </c>
      <c r="C10" s="1150"/>
      <c r="D10" s="395">
        <v>1000</v>
      </c>
      <c r="E10" s="488">
        <v>561.67999999999995</v>
      </c>
      <c r="F10" s="450">
        <v>0</v>
      </c>
      <c r="G10" s="495">
        <v>478.92</v>
      </c>
      <c r="H10" s="391">
        <v>82.04</v>
      </c>
      <c r="I10" s="956">
        <v>500</v>
      </c>
      <c r="J10" s="400" t="s">
        <v>58</v>
      </c>
      <c r="K10" s="401">
        <f t="shared" ref="K10:K21" si="0">I10/G10*100</f>
        <v>104.4015701996158</v>
      </c>
    </row>
    <row r="11" spans="1:12" s="447" customFormat="1" ht="20.100000000000001" customHeight="1" x14ac:dyDescent="0.3">
      <c r="A11" s="428">
        <v>2143</v>
      </c>
      <c r="B11" s="1149" t="s">
        <v>174</v>
      </c>
      <c r="C11" s="1150"/>
      <c r="D11" s="450">
        <v>2000</v>
      </c>
      <c r="E11" s="488">
        <v>2000</v>
      </c>
      <c r="F11" s="450">
        <v>2000</v>
      </c>
      <c r="G11" s="452">
        <v>2000</v>
      </c>
      <c r="H11" s="488">
        <v>2000</v>
      </c>
      <c r="I11" s="956">
        <v>2000</v>
      </c>
      <c r="J11" s="400">
        <f t="shared" ref="J11:J16" si="1">I11/F11*100</f>
        <v>100</v>
      </c>
      <c r="K11" s="401">
        <f t="shared" si="0"/>
        <v>100</v>
      </c>
    </row>
    <row r="12" spans="1:12" s="447" customFormat="1" ht="20.100000000000001" customHeight="1" x14ac:dyDescent="0.3">
      <c r="A12" s="428">
        <v>2143</v>
      </c>
      <c r="B12" s="1149" t="s">
        <v>170</v>
      </c>
      <c r="C12" s="1150"/>
      <c r="D12" s="450">
        <v>0</v>
      </c>
      <c r="E12" s="488">
        <v>0</v>
      </c>
      <c r="F12" s="450">
        <v>0</v>
      </c>
      <c r="G12" s="452">
        <v>2000</v>
      </c>
      <c r="H12" s="488">
        <v>170.6</v>
      </c>
      <c r="I12" s="956">
        <v>2500</v>
      </c>
      <c r="J12" s="400" t="s">
        <v>58</v>
      </c>
      <c r="K12" s="401">
        <f t="shared" ref="K12" si="2">I12/G12*100</f>
        <v>125</v>
      </c>
    </row>
    <row r="13" spans="1:12" s="447" customFormat="1" ht="30" customHeight="1" x14ac:dyDescent="0.3">
      <c r="A13" s="428">
        <v>2510</v>
      </c>
      <c r="B13" s="1149" t="s">
        <v>375</v>
      </c>
      <c r="C13" s="1150"/>
      <c r="D13" s="450">
        <v>1000</v>
      </c>
      <c r="E13" s="488">
        <v>198</v>
      </c>
      <c r="F13" s="450">
        <v>900</v>
      </c>
      <c r="G13" s="452">
        <v>1702</v>
      </c>
      <c r="H13" s="488">
        <v>198</v>
      </c>
      <c r="I13" s="956">
        <v>1000</v>
      </c>
      <c r="J13" s="400">
        <f t="shared" si="1"/>
        <v>111.11111111111111</v>
      </c>
      <c r="K13" s="401">
        <f t="shared" si="0"/>
        <v>58.754406580493537</v>
      </c>
      <c r="L13" s="2"/>
    </row>
    <row r="14" spans="1:12" s="447" customFormat="1" ht="20.100000000000001" customHeight="1" x14ac:dyDescent="0.3">
      <c r="A14" s="428">
        <v>3115</v>
      </c>
      <c r="B14" s="1149" t="s">
        <v>430</v>
      </c>
      <c r="C14" s="1150"/>
      <c r="D14" s="450">
        <v>500</v>
      </c>
      <c r="E14" s="488">
        <v>84</v>
      </c>
      <c r="F14" s="450">
        <v>0</v>
      </c>
      <c r="G14" s="452">
        <v>0</v>
      </c>
      <c r="H14" s="488">
        <v>0</v>
      </c>
      <c r="I14" s="956">
        <v>0</v>
      </c>
      <c r="J14" s="400" t="s">
        <v>58</v>
      </c>
      <c r="K14" s="401" t="s">
        <v>58</v>
      </c>
    </row>
    <row r="15" spans="1:12" s="447" customFormat="1" ht="52.5" customHeight="1" x14ac:dyDescent="0.3">
      <c r="A15" s="428">
        <v>3636</v>
      </c>
      <c r="B15" s="1149" t="s">
        <v>436</v>
      </c>
      <c r="C15" s="1150"/>
      <c r="D15" s="450">
        <v>2500</v>
      </c>
      <c r="E15" s="488">
        <v>1950</v>
      </c>
      <c r="F15" s="450">
        <v>2500</v>
      </c>
      <c r="G15" s="452">
        <v>2500</v>
      </c>
      <c r="H15" s="488">
        <v>0</v>
      </c>
      <c r="I15" s="956">
        <v>3000</v>
      </c>
      <c r="J15" s="400">
        <f t="shared" si="1"/>
        <v>120</v>
      </c>
      <c r="K15" s="401">
        <f t="shared" si="0"/>
        <v>120</v>
      </c>
    </row>
    <row r="16" spans="1:12" s="447" customFormat="1" ht="32.25" customHeight="1" x14ac:dyDescent="0.3">
      <c r="A16" s="428">
        <v>3636</v>
      </c>
      <c r="B16" s="1229" t="s">
        <v>465</v>
      </c>
      <c r="C16" s="1230"/>
      <c r="D16" s="450">
        <v>0</v>
      </c>
      <c r="E16" s="488">
        <v>0</v>
      </c>
      <c r="F16" s="450">
        <v>2000</v>
      </c>
      <c r="G16" s="452">
        <v>2000</v>
      </c>
      <c r="H16" s="488">
        <v>0</v>
      </c>
      <c r="I16" s="956">
        <v>0</v>
      </c>
      <c r="J16" s="400">
        <f t="shared" si="1"/>
        <v>0</v>
      </c>
      <c r="K16" s="401">
        <f t="shared" si="0"/>
        <v>0</v>
      </c>
    </row>
    <row r="17" spans="1:12" s="447" customFormat="1" ht="79.5" customHeight="1" x14ac:dyDescent="0.3">
      <c r="A17" s="428">
        <v>3636</v>
      </c>
      <c r="B17" s="1149" t="s">
        <v>437</v>
      </c>
      <c r="C17" s="1150"/>
      <c r="D17" s="450">
        <v>2500</v>
      </c>
      <c r="E17" s="488">
        <v>793.65</v>
      </c>
      <c r="F17" s="450">
        <v>0</v>
      </c>
      <c r="G17" s="452">
        <v>0</v>
      </c>
      <c r="H17" s="488">
        <v>0</v>
      </c>
      <c r="I17" s="956">
        <v>0</v>
      </c>
      <c r="J17" s="400" t="s">
        <v>58</v>
      </c>
      <c r="K17" s="401" t="s">
        <v>58</v>
      </c>
      <c r="L17" s="797"/>
    </row>
    <row r="18" spans="1:12" s="447" customFormat="1" ht="20.100000000000001" customHeight="1" x14ac:dyDescent="0.3">
      <c r="A18" s="428">
        <v>3636</v>
      </c>
      <c r="B18" s="1149" t="s">
        <v>273</v>
      </c>
      <c r="C18" s="1150"/>
      <c r="D18" s="450">
        <v>0</v>
      </c>
      <c r="E18" s="488">
        <v>560</v>
      </c>
      <c r="F18" s="450">
        <v>0</v>
      </c>
      <c r="G18" s="452">
        <v>3000</v>
      </c>
      <c r="H18" s="488">
        <v>0</v>
      </c>
      <c r="I18" s="956">
        <v>0</v>
      </c>
      <c r="J18" s="400" t="s">
        <v>58</v>
      </c>
      <c r="K18" s="401">
        <f t="shared" si="0"/>
        <v>0</v>
      </c>
    </row>
    <row r="19" spans="1:12" s="447" customFormat="1" ht="20.100000000000001" customHeight="1" x14ac:dyDescent="0.3">
      <c r="A19" s="428">
        <v>3636</v>
      </c>
      <c r="B19" s="1149" t="s">
        <v>516</v>
      </c>
      <c r="C19" s="1150"/>
      <c r="D19" s="450">
        <v>0</v>
      </c>
      <c r="E19" s="488">
        <v>600</v>
      </c>
      <c r="F19" s="450">
        <v>0</v>
      </c>
      <c r="G19" s="452">
        <v>0</v>
      </c>
      <c r="H19" s="488">
        <v>0</v>
      </c>
      <c r="I19" s="956">
        <v>0</v>
      </c>
      <c r="J19" s="400" t="s">
        <v>58</v>
      </c>
      <c r="K19" s="401" t="s">
        <v>58</v>
      </c>
    </row>
    <row r="20" spans="1:12" s="447" customFormat="1" ht="27" customHeight="1" x14ac:dyDescent="0.3">
      <c r="A20" s="428">
        <v>3636</v>
      </c>
      <c r="B20" s="1149" t="s">
        <v>517</v>
      </c>
      <c r="C20" s="1150"/>
      <c r="D20" s="450">
        <v>0</v>
      </c>
      <c r="E20" s="488">
        <v>160</v>
      </c>
      <c r="F20" s="450">
        <v>0</v>
      </c>
      <c r="G20" s="452">
        <v>1540</v>
      </c>
      <c r="H20" s="488">
        <v>769.42</v>
      </c>
      <c r="I20" s="956">
        <v>0</v>
      </c>
      <c r="J20" s="400" t="s">
        <v>58</v>
      </c>
      <c r="K20" s="401">
        <f t="shared" si="0"/>
        <v>0</v>
      </c>
    </row>
    <row r="21" spans="1:12" s="447" customFormat="1" ht="20.100000000000001" customHeight="1" x14ac:dyDescent="0.3">
      <c r="A21" s="428">
        <v>3636</v>
      </c>
      <c r="B21" s="1149" t="s">
        <v>497</v>
      </c>
      <c r="C21" s="1150"/>
      <c r="D21" s="450">
        <v>7018</v>
      </c>
      <c r="E21" s="488">
        <v>5517.29</v>
      </c>
      <c r="F21" s="450">
        <v>15150</v>
      </c>
      <c r="G21" s="452">
        <v>779.39</v>
      </c>
      <c r="H21" s="488">
        <v>779.39</v>
      </c>
      <c r="I21" s="956">
        <v>0</v>
      </c>
      <c r="J21" s="400">
        <f>I21/F21*100</f>
        <v>0</v>
      </c>
      <c r="K21" s="401">
        <f t="shared" si="0"/>
        <v>0</v>
      </c>
    </row>
    <row r="22" spans="1:12" s="447" customFormat="1" ht="28.5" customHeight="1" x14ac:dyDescent="0.3">
      <c r="A22" s="428">
        <v>3636</v>
      </c>
      <c r="B22" s="1147" t="s">
        <v>537</v>
      </c>
      <c r="C22" s="1148"/>
      <c r="D22" s="450">
        <v>0</v>
      </c>
      <c r="E22" s="488">
        <v>0</v>
      </c>
      <c r="F22" s="450">
        <v>0</v>
      </c>
      <c r="G22" s="452">
        <v>78.05</v>
      </c>
      <c r="H22" s="488">
        <v>78.05</v>
      </c>
      <c r="I22" s="956">
        <v>0</v>
      </c>
      <c r="J22" s="400" t="s">
        <v>58</v>
      </c>
      <c r="K22" s="401">
        <f t="shared" ref="K22" si="3">I22/G22*100</f>
        <v>0</v>
      </c>
    </row>
    <row r="23" spans="1:12" s="447" customFormat="1" ht="30" customHeight="1" thickBot="1" x14ac:dyDescent="0.35">
      <c r="A23" s="428">
        <v>6172</v>
      </c>
      <c r="B23" s="1149" t="s">
        <v>321</v>
      </c>
      <c r="C23" s="1150"/>
      <c r="D23" s="450">
        <v>200</v>
      </c>
      <c r="E23" s="488">
        <v>159.54</v>
      </c>
      <c r="F23" s="450">
        <v>100</v>
      </c>
      <c r="G23" s="452">
        <v>100</v>
      </c>
      <c r="H23" s="488">
        <v>18.3</v>
      </c>
      <c r="I23" s="956">
        <v>100</v>
      </c>
      <c r="J23" s="400">
        <f>I23/F23*100</f>
        <v>100</v>
      </c>
      <c r="K23" s="401">
        <f>I23/G23*100</f>
        <v>100</v>
      </c>
    </row>
    <row r="24" spans="1:12" ht="20.100000000000001" customHeight="1" thickBot="1" x14ac:dyDescent="0.35">
      <c r="A24" s="174"/>
      <c r="B24" s="348" t="s">
        <v>82</v>
      </c>
      <c r="C24" s="569"/>
      <c r="D24" s="169">
        <f t="shared" ref="D24:I24" si="4">SUM(D9:D23)</f>
        <v>17218</v>
      </c>
      <c r="E24" s="181">
        <f t="shared" si="4"/>
        <v>12584.16</v>
      </c>
      <c r="F24" s="179">
        <f t="shared" si="4"/>
        <v>22650</v>
      </c>
      <c r="G24" s="171">
        <f t="shared" si="4"/>
        <v>16178.359999999999</v>
      </c>
      <c r="H24" s="171">
        <f t="shared" si="4"/>
        <v>4095.8</v>
      </c>
      <c r="I24" s="959">
        <f t="shared" si="4"/>
        <v>9100</v>
      </c>
      <c r="J24" s="172">
        <f>I24/F24*100</f>
        <v>40.176600441501101</v>
      </c>
      <c r="K24" s="183">
        <f>I24/G24*100</f>
        <v>56.247975690984752</v>
      </c>
      <c r="L24" s="975"/>
    </row>
    <row r="25" spans="1:12" x14ac:dyDescent="0.3">
      <c r="C25" s="2"/>
      <c r="D25" s="3"/>
      <c r="F25" s="3"/>
      <c r="I25" s="3"/>
      <c r="K25" s="1"/>
    </row>
    <row r="26" spans="1:12" ht="16.2" thickBot="1" x14ac:dyDescent="0.35">
      <c r="A26" s="9"/>
      <c r="C26" s="824"/>
      <c r="D26" s="3"/>
      <c r="F26" s="3"/>
      <c r="I26" s="3"/>
      <c r="J26" s="976"/>
    </row>
    <row r="27" spans="1:12" x14ac:dyDescent="0.3">
      <c r="D27" s="3"/>
      <c r="F27" s="3"/>
      <c r="I27" s="3"/>
      <c r="J27" s="892"/>
    </row>
    <row r="28" spans="1:12" ht="15" thickBot="1" x14ac:dyDescent="0.35">
      <c r="C28" s="713"/>
    </row>
    <row r="29" spans="1:12" ht="15.6" x14ac:dyDescent="0.3">
      <c r="A29" s="19"/>
    </row>
  </sheetData>
  <mergeCells count="23">
    <mergeCell ref="B16:C16"/>
    <mergeCell ref="A2:K2"/>
    <mergeCell ref="A6:A7"/>
    <mergeCell ref="D6:E6"/>
    <mergeCell ref="F6:H6"/>
    <mergeCell ref="J6:J7"/>
    <mergeCell ref="B13:C13"/>
    <mergeCell ref="B15:C15"/>
    <mergeCell ref="B14:C14"/>
    <mergeCell ref="K6:K7"/>
    <mergeCell ref="B6:C7"/>
    <mergeCell ref="B11:C11"/>
    <mergeCell ref="B9:C9"/>
    <mergeCell ref="B10:C10"/>
    <mergeCell ref="I6:I7"/>
    <mergeCell ref="B12:C12"/>
    <mergeCell ref="B23:C23"/>
    <mergeCell ref="B18:C18"/>
    <mergeCell ref="B21:C21"/>
    <mergeCell ref="B17:C17"/>
    <mergeCell ref="B19:C19"/>
    <mergeCell ref="B20:C20"/>
    <mergeCell ref="B22:C22"/>
  </mergeCells>
  <printOptions horizontalCentered="1"/>
  <pageMargins left="0.59055118110236227" right="0.59055118110236227" top="0.78740157480314965" bottom="0.39370078740157483" header="0.59055118110236227" footer="0.59055118110236227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46"/>
  <sheetViews>
    <sheetView workbookViewId="0">
      <selection activeCell="D5" sqref="D5"/>
    </sheetView>
  </sheetViews>
  <sheetFormatPr defaultColWidth="9.109375" defaultRowHeight="13.8" x14ac:dyDescent="0.25"/>
  <cols>
    <col min="1" max="1" width="42.44140625" style="57" customWidth="1"/>
    <col min="2" max="7" width="16.6640625" style="609" customWidth="1"/>
    <col min="8" max="8" width="10.6640625" style="611" customWidth="1"/>
    <col min="9" max="9" width="9.109375" style="524"/>
    <col min="10" max="10" width="13.109375" style="524" bestFit="1" customWidth="1"/>
    <col min="11" max="11" width="10.44140625" style="57" bestFit="1" customWidth="1"/>
    <col min="12" max="16384" width="9.109375" style="57"/>
  </cols>
  <sheetData>
    <row r="1" spans="1:11" ht="15" customHeight="1" x14ac:dyDescent="0.25">
      <c r="A1" s="57" t="s">
        <v>574</v>
      </c>
      <c r="H1" s="610"/>
    </row>
    <row r="2" spans="1:11" ht="24" customHeight="1" x14ac:dyDescent="0.25">
      <c r="A2" s="331" t="s">
        <v>511</v>
      </c>
    </row>
    <row r="3" spans="1:11" ht="15" customHeight="1" x14ac:dyDescent="0.25">
      <c r="A3" s="612"/>
    </row>
    <row r="4" spans="1:11" ht="20.100000000000001" customHeight="1" x14ac:dyDescent="0.25">
      <c r="A4" s="612" t="s">
        <v>47</v>
      </c>
    </row>
    <row r="5" spans="1:11" ht="15" customHeight="1" x14ac:dyDescent="0.25">
      <c r="A5" s="613"/>
    </row>
    <row r="6" spans="1:11" ht="15" customHeight="1" thickBot="1" x14ac:dyDescent="0.3">
      <c r="A6" s="614"/>
      <c r="H6" s="615" t="s">
        <v>0</v>
      </c>
    </row>
    <row r="7" spans="1:11" ht="20.100000000000001" customHeight="1" x14ac:dyDescent="0.25">
      <c r="A7" s="1062" t="s">
        <v>1</v>
      </c>
      <c r="B7" s="1060" t="s">
        <v>402</v>
      </c>
      <c r="C7" s="1061"/>
      <c r="D7" s="1060" t="s">
        <v>450</v>
      </c>
      <c r="E7" s="1064"/>
      <c r="F7" s="1061"/>
      <c r="G7" s="1065" t="s">
        <v>507</v>
      </c>
      <c r="H7" s="1067" t="s">
        <v>508</v>
      </c>
    </row>
    <row r="8" spans="1:11" ht="30.9" customHeight="1" thickBot="1" x14ac:dyDescent="0.3">
      <c r="A8" s="1063"/>
      <c r="B8" s="236" t="s">
        <v>103</v>
      </c>
      <c r="C8" s="835" t="s">
        <v>573</v>
      </c>
      <c r="D8" s="236" t="s">
        <v>103</v>
      </c>
      <c r="E8" s="237" t="s">
        <v>556</v>
      </c>
      <c r="F8" s="835" t="s">
        <v>572</v>
      </c>
      <c r="G8" s="1066"/>
      <c r="H8" s="1068"/>
    </row>
    <row r="9" spans="1:11" ht="20.25" customHeight="1" x14ac:dyDescent="0.25">
      <c r="A9" s="249" t="s">
        <v>46</v>
      </c>
      <c r="B9" s="252">
        <f>SUM('Sumář příjmů a výdajů'!B10:B14)</f>
        <v>15071000</v>
      </c>
      <c r="C9" s="253">
        <f>SUM('Sumář příjmů a výdajů'!C10:C14)</f>
        <v>15467816.380000001</v>
      </c>
      <c r="D9" s="252">
        <f>SUM('Sumář příjmů a výdajů'!D10:D14)</f>
        <v>15571000</v>
      </c>
      <c r="E9" s="254">
        <f>SUM('Sumář příjmů a výdajů'!E10:E14)</f>
        <v>15676895.369999999</v>
      </c>
      <c r="F9" s="255">
        <f>SUM('Sumář příjmů a výdajů'!F10:F14)</f>
        <v>11976278.280000001</v>
      </c>
      <c r="G9" s="256">
        <f>'Sumář příjmů a výdajů'!G10+'Sumář příjmů a výdajů'!G11+'Sumář příjmů a výdajů'!G12+'Sumář příjmů a výdajů'!G13</f>
        <v>17769000</v>
      </c>
      <c r="H9" s="250">
        <f>G9/D9*100</f>
        <v>114.11598484361956</v>
      </c>
    </row>
    <row r="10" spans="1:11" ht="20.25" customHeight="1" x14ac:dyDescent="0.25">
      <c r="A10" s="251" t="s">
        <v>45</v>
      </c>
      <c r="B10" s="252">
        <f>SUM('Sumář příjmů a výdajů'!B15:B21)</f>
        <v>84508</v>
      </c>
      <c r="C10" s="253">
        <f>SUM('Sumář příjmů a výdajů'!C15:C21)</f>
        <v>1857824.58</v>
      </c>
      <c r="D10" s="252">
        <f>SUM('Sumář příjmů a výdajů'!D15:D21)</f>
        <v>666400</v>
      </c>
      <c r="E10" s="254">
        <f>SUM('Sumář příjmů a výdajů'!E15:E21)</f>
        <v>1099083.48</v>
      </c>
      <c r="F10" s="255">
        <f>SUM('Sumář příjmů a výdajů'!F15:F21)</f>
        <v>894371</v>
      </c>
      <c r="G10" s="256">
        <f>SUM('Sumář příjmů a výdajů'!G15:G21)</f>
        <v>667576</v>
      </c>
      <c r="H10" s="257">
        <f t="shared" ref="H10:H30" si="0">G10/D10*100</f>
        <v>100.17647058823529</v>
      </c>
      <c r="K10" s="524"/>
    </row>
    <row r="11" spans="1:11" ht="20.25" customHeight="1" x14ac:dyDescent="0.25">
      <c r="A11" s="251" t="s">
        <v>44</v>
      </c>
      <c r="B11" s="252">
        <f>+'Sumář příjmů a výdajů'!B22</f>
        <v>17000</v>
      </c>
      <c r="C11" s="253">
        <f>+'Sumář příjmů a výdajů'!C22</f>
        <v>31598.27</v>
      </c>
      <c r="D11" s="252">
        <f>+'Sumář příjmů a výdajů'!D22</f>
        <v>9000</v>
      </c>
      <c r="E11" s="254">
        <f>+'Sumář příjmů a výdajů'!E22</f>
        <v>9000</v>
      </c>
      <c r="F11" s="255">
        <f>+'Sumář příjmů a výdajů'!F22</f>
        <v>6335.34</v>
      </c>
      <c r="G11" s="256">
        <f>+'Sumář příjmů a výdajů'!G22</f>
        <v>9000</v>
      </c>
      <c r="H11" s="257">
        <f t="shared" si="0"/>
        <v>100</v>
      </c>
    </row>
    <row r="12" spans="1:11" ht="20.25" customHeight="1" x14ac:dyDescent="0.25">
      <c r="A12" s="251" t="s">
        <v>89</v>
      </c>
      <c r="B12" s="252">
        <f>SUM('Sumář příjmů a výdajů'!B23:B34)</f>
        <v>32629721.800000001</v>
      </c>
      <c r="C12" s="253">
        <f>SUM('Sumář příjmů a výdajů'!C23:C34)</f>
        <v>33114568.350000001</v>
      </c>
      <c r="D12" s="252">
        <f>SUM('Sumář příjmů a výdajů'!D23:D34)</f>
        <v>34647677.700000003</v>
      </c>
      <c r="E12" s="254">
        <f>SUM('Sumář příjmů a výdajů'!E23:E34)</f>
        <v>35763031.729999997</v>
      </c>
      <c r="F12" s="255">
        <f>SUM('Sumář příjmů a výdajů'!F23:F34)</f>
        <v>28847137.73</v>
      </c>
      <c r="G12" s="256">
        <f>SUM('Sumář příjmů a výdajů'!G23:G34)</f>
        <v>31969091.399999999</v>
      </c>
      <c r="H12" s="257">
        <f t="shared" si="0"/>
        <v>92.269074068418718</v>
      </c>
    </row>
    <row r="13" spans="1:11" s="613" customFormat="1" ht="30.15" customHeight="1" x14ac:dyDescent="0.25">
      <c r="A13" s="258" t="s">
        <v>9</v>
      </c>
      <c r="B13" s="259">
        <f>SUM(B9:B12)</f>
        <v>47802229.799999997</v>
      </c>
      <c r="C13" s="260">
        <f t="shared" ref="C13:G13" si="1">SUM(C9:C12)</f>
        <v>50471807.579999998</v>
      </c>
      <c r="D13" s="259">
        <f t="shared" ref="D13" si="2">SUM(D9:D12)</f>
        <v>50894077.700000003</v>
      </c>
      <c r="E13" s="261">
        <f t="shared" si="1"/>
        <v>52548010.579999998</v>
      </c>
      <c r="F13" s="868">
        <f t="shared" si="1"/>
        <v>41724122.350000001</v>
      </c>
      <c r="G13" s="263">
        <f t="shared" si="1"/>
        <v>50414667.399999999</v>
      </c>
      <c r="H13" s="264">
        <f t="shared" si="0"/>
        <v>99.058023405344059</v>
      </c>
      <c r="I13" s="524"/>
      <c r="J13" s="524"/>
    </row>
    <row r="14" spans="1:11" s="613" customFormat="1" ht="6" customHeight="1" x14ac:dyDescent="0.25">
      <c r="A14" s="258"/>
      <c r="B14" s="259"/>
      <c r="C14" s="260"/>
      <c r="D14" s="652"/>
      <c r="E14" s="261"/>
      <c r="F14" s="262"/>
      <c r="G14" s="263"/>
      <c r="H14" s="264"/>
      <c r="I14" s="524"/>
      <c r="J14" s="524"/>
    </row>
    <row r="15" spans="1:11" s="613" customFormat="1" ht="20.25" customHeight="1" x14ac:dyDescent="0.25">
      <c r="A15" s="251" t="s">
        <v>73</v>
      </c>
      <c r="B15" s="252">
        <f>+'Sumář příjmů a výdajů'!B72-Bilance!B16</f>
        <v>45281930.799999997</v>
      </c>
      <c r="C15" s="253">
        <f>+'Sumář příjmů a výdajů'!C72-Bilance!C16</f>
        <v>44088267.799999997</v>
      </c>
      <c r="D15" s="252">
        <f>+'Sumář příjmů a výdajů'!D72-Bilance!D16</f>
        <v>48338952.700000003</v>
      </c>
      <c r="E15" s="254">
        <f>+'Sumář příjmů a výdajů'!E72-Bilance!E16</f>
        <v>50634998.75</v>
      </c>
      <c r="F15" s="255">
        <f>+'Sumář příjmů a výdajů'!F72-Bilance!F16</f>
        <v>35052332.079999991</v>
      </c>
      <c r="G15" s="256">
        <f>+'Sumář příjmů a výdajů'!G72-Bilance!G16</f>
        <v>48542139.399999999</v>
      </c>
      <c r="H15" s="257">
        <f t="shared" si="0"/>
        <v>100.42033740627565</v>
      </c>
      <c r="I15" s="524"/>
      <c r="J15" s="524"/>
    </row>
    <row r="16" spans="1:11" s="613" customFormat="1" ht="20.25" customHeight="1" x14ac:dyDescent="0.25">
      <c r="A16" s="251" t="s">
        <v>74</v>
      </c>
      <c r="B16" s="252">
        <f>+'Kapitálové výdaje '!C34</f>
        <v>4221548</v>
      </c>
      <c r="C16" s="253">
        <f>+'Kapitálové výdaje '!D34</f>
        <v>6461571.2800000012</v>
      </c>
      <c r="D16" s="252">
        <f>+'Kapitálové výdaje '!E34</f>
        <v>3987474</v>
      </c>
      <c r="E16" s="254">
        <f>+'Kapitálové výdaje '!F34</f>
        <v>9554178.6900000013</v>
      </c>
      <c r="F16" s="255">
        <f>+'Kapitálové výdaje '!G34</f>
        <v>3020032.02</v>
      </c>
      <c r="G16" s="256">
        <f>+'Kapitálové výdaje '!H34</f>
        <v>3877800</v>
      </c>
      <c r="H16" s="257">
        <f t="shared" si="0"/>
        <v>97.24953692488026</v>
      </c>
      <c r="I16" s="1038"/>
      <c r="J16" s="524"/>
    </row>
    <row r="17" spans="1:10" s="613" customFormat="1" ht="30.15" customHeight="1" x14ac:dyDescent="0.25">
      <c r="A17" s="266" t="s">
        <v>43</v>
      </c>
      <c r="B17" s="259">
        <f>SUM(B15:B16)</f>
        <v>49503478.799999997</v>
      </c>
      <c r="C17" s="260">
        <f t="shared" ref="C17:G17" si="3">SUM(C15:C16)</f>
        <v>50549839.079999998</v>
      </c>
      <c r="D17" s="259">
        <f t="shared" ref="D17" si="4">SUM(D15:D16)</f>
        <v>52326426.700000003</v>
      </c>
      <c r="E17" s="261">
        <f t="shared" si="3"/>
        <v>60189177.439999998</v>
      </c>
      <c r="F17" s="262">
        <f t="shared" si="3"/>
        <v>38072364.099999994</v>
      </c>
      <c r="G17" s="263">
        <f t="shared" si="3"/>
        <v>52419939.399999999</v>
      </c>
      <c r="H17" s="264">
        <f t="shared" si="0"/>
        <v>100.17871027298715</v>
      </c>
      <c r="I17" s="524"/>
      <c r="J17" s="524"/>
    </row>
    <row r="18" spans="1:10" s="613" customFormat="1" ht="6" customHeight="1" x14ac:dyDescent="0.25">
      <c r="A18" s="266"/>
      <c r="B18" s="259"/>
      <c r="C18" s="260"/>
      <c r="D18" s="652"/>
      <c r="E18" s="261"/>
      <c r="F18" s="262"/>
      <c r="G18" s="263"/>
      <c r="H18" s="264"/>
      <c r="I18" s="524"/>
      <c r="J18" s="524"/>
    </row>
    <row r="19" spans="1:10" s="613" customFormat="1" ht="30.15" customHeight="1" x14ac:dyDescent="0.25">
      <c r="A19" s="266" t="s">
        <v>42</v>
      </c>
      <c r="B19" s="259">
        <f t="shared" ref="B19:G19" si="5">B13-B17</f>
        <v>-1701249</v>
      </c>
      <c r="C19" s="260">
        <f t="shared" si="5"/>
        <v>-78031.5</v>
      </c>
      <c r="D19" s="259">
        <f t="shared" ref="D19" si="6">D13-D17</f>
        <v>-1432349</v>
      </c>
      <c r="E19" s="261">
        <f t="shared" si="5"/>
        <v>-7641166.8599999994</v>
      </c>
      <c r="F19" s="262">
        <f t="shared" si="5"/>
        <v>3651758.2500000075</v>
      </c>
      <c r="G19" s="263">
        <f t="shared" si="5"/>
        <v>-2005272</v>
      </c>
      <c r="H19" s="264">
        <f t="shared" si="0"/>
        <v>139.99884106457296</v>
      </c>
      <c r="I19" s="524"/>
      <c r="J19" s="524"/>
    </row>
    <row r="20" spans="1:10" s="613" customFormat="1" ht="6" customHeight="1" x14ac:dyDescent="0.25">
      <c r="A20" s="266"/>
      <c r="B20" s="259"/>
      <c r="C20" s="260"/>
      <c r="D20" s="652"/>
      <c r="E20" s="261"/>
      <c r="F20" s="262"/>
      <c r="G20" s="263"/>
      <c r="H20" s="264"/>
      <c r="I20" s="524"/>
      <c r="J20" s="524"/>
    </row>
    <row r="21" spans="1:10" ht="20.25" customHeight="1" x14ac:dyDescent="0.25">
      <c r="A21" s="267" t="s">
        <v>65</v>
      </c>
      <c r="B21" s="252">
        <f>+'Sumář příjmů a výdajů'!B38+'Sumář příjmů a výdajů'!B39+'Sumář příjmů a výdajů'!B40</f>
        <v>29562</v>
      </c>
      <c r="C21" s="253">
        <f>+'Sumář příjmů a výdajů'!C38+'Sumář příjmů a výdajů'!C39+'Sumář příjmů a výdajů'!C40</f>
        <v>-280831.2</v>
      </c>
      <c r="D21" s="252">
        <f>+'Sumář příjmů a výdajů'!D38+'Sumář příjmů a výdajů'!D39+'Sumář příjmů a výdajů'!D40</f>
        <v>10000</v>
      </c>
      <c r="E21" s="254">
        <f>+'Sumář příjmů a výdajů'!E38+'Sumář příjmů a výdajů'!E39+'Sumář příjmů a výdajů'!E40</f>
        <v>5887533.7300000004</v>
      </c>
      <c r="F21" s="265">
        <f>+'Sumář příjmů a výdajů'!F38+'Sumář příjmů a výdajů'!F39+'Sumář příjmů a výdajů'!F40</f>
        <v>-653717.22</v>
      </c>
      <c r="G21" s="256">
        <f>+'Sumář příjmů a výdajů'!G38+'Sumář příjmů a výdajů'!G39+'Sumář příjmů a výdajů'!G40</f>
        <v>10000</v>
      </c>
      <c r="H21" s="1040">
        <f t="shared" si="0"/>
        <v>100</v>
      </c>
    </row>
    <row r="22" spans="1:10" ht="30" customHeight="1" x14ac:dyDescent="0.25">
      <c r="A22" s="267" t="s">
        <v>308</v>
      </c>
      <c r="B22" s="252">
        <f>+'Sumář příjmů a výdajů'!B41</f>
        <v>1006026</v>
      </c>
      <c r="C22" s="253">
        <f>+'Sumář příjmů a výdajů'!C41</f>
        <v>700000</v>
      </c>
      <c r="D22" s="252">
        <f>+'Sumář příjmů a výdajů'!D41</f>
        <v>308428</v>
      </c>
      <c r="E22" s="254">
        <f>+'Sumář příjmů a výdajů'!E41</f>
        <v>639712.13</v>
      </c>
      <c r="F22" s="265">
        <f>+'Sumář příjmů a výdajů'!F41</f>
        <v>350000</v>
      </c>
      <c r="G22" s="256">
        <f>+'Sumář příjmů a výdajů'!G41</f>
        <v>0</v>
      </c>
      <c r="H22" s="1040">
        <f t="shared" si="0"/>
        <v>0</v>
      </c>
    </row>
    <row r="23" spans="1:10" ht="30" customHeight="1" x14ac:dyDescent="0.25">
      <c r="A23" s="267" t="s">
        <v>284</v>
      </c>
      <c r="B23" s="252">
        <f>+'Sumář příjmů a výdajů'!B43</f>
        <v>575227</v>
      </c>
      <c r="C23" s="253">
        <f>+'Sumář příjmů a výdajů'!C43</f>
        <v>0</v>
      </c>
      <c r="D23" s="252">
        <f>+'Sumář příjmů a výdajů'!D43</f>
        <v>944700</v>
      </c>
      <c r="E23" s="254">
        <f>+'Sumář příjmů a výdajů'!E43</f>
        <v>944700</v>
      </c>
      <c r="F23" s="265">
        <f>+'Sumář příjmů a výdajů'!F43</f>
        <v>0</v>
      </c>
      <c r="G23" s="256">
        <f>+'Sumář příjmů a výdajů'!G43</f>
        <v>1795287</v>
      </c>
      <c r="H23" s="1040">
        <f t="shared" si="0"/>
        <v>190.0377897745316</v>
      </c>
    </row>
    <row r="24" spans="1:10" ht="30" customHeight="1" x14ac:dyDescent="0.25">
      <c r="A24" s="267" t="s">
        <v>285</v>
      </c>
      <c r="B24" s="252">
        <f>+'Sumář příjmů a výdajů'!B42</f>
        <v>377022</v>
      </c>
      <c r="C24" s="253">
        <f>+'Sumář příjmů a výdajů'!C42</f>
        <v>0</v>
      </c>
      <c r="D24" s="252">
        <f>+'Sumář příjmů a výdajů'!D42</f>
        <v>444000</v>
      </c>
      <c r="E24" s="254">
        <f>+'Sumář příjmů a výdajů'!E42</f>
        <v>444000</v>
      </c>
      <c r="F24" s="265">
        <f>+'Sumář příjmů a výdajů'!F42</f>
        <v>0</v>
      </c>
      <c r="G24" s="256">
        <f>+'Sumář příjmů a výdajů'!G42</f>
        <v>501302</v>
      </c>
      <c r="H24" s="1040">
        <f t="shared" si="0"/>
        <v>112.90585585585586</v>
      </c>
    </row>
    <row r="25" spans="1:10" ht="30" customHeight="1" x14ac:dyDescent="0.25">
      <c r="A25" s="267" t="s">
        <v>292</v>
      </c>
      <c r="B25" s="252">
        <f>-'Sumář příjmů a výdajů'!B75</f>
        <v>-239487</v>
      </c>
      <c r="C25" s="253">
        <f>-'Sumář příjmů a výdajů'!C75</f>
        <v>-239486.82</v>
      </c>
      <c r="D25" s="252">
        <f>-'Sumář příjmů a výdajů'!D75</f>
        <v>-239487</v>
      </c>
      <c r="E25" s="254">
        <f>-'Sumář příjmů a výdajů'!E75</f>
        <v>-239487</v>
      </c>
      <c r="F25" s="265">
        <f>-'Sumář příjmů a výdajů'!F75</f>
        <v>-179615.11</v>
      </c>
      <c r="G25" s="256">
        <f>-'Sumář příjmů a výdajů'!G75</f>
        <v>-239487</v>
      </c>
      <c r="H25" s="1040">
        <f t="shared" si="0"/>
        <v>100</v>
      </c>
    </row>
    <row r="26" spans="1:10" ht="30" customHeight="1" x14ac:dyDescent="0.25">
      <c r="A26" s="267" t="s">
        <v>286</v>
      </c>
      <c r="B26" s="252">
        <f>-'Sumář příjmů a výdajů'!B76</f>
        <v>-39070</v>
      </c>
      <c r="C26" s="253">
        <f>-'Sumář příjmů a výdajů'!C76</f>
        <v>-39070</v>
      </c>
      <c r="D26" s="252">
        <f>-'Sumář příjmů a výdajů'!D76</f>
        <v>0</v>
      </c>
      <c r="E26" s="254">
        <f>-'Sumář příjmů a výdajů'!E76</f>
        <v>0</v>
      </c>
      <c r="F26" s="265">
        <f>-'Sumář příjmů a výdajů'!F76</f>
        <v>0</v>
      </c>
      <c r="G26" s="256">
        <f>-'Sumář příjmů a výdajů'!G76</f>
        <v>0</v>
      </c>
      <c r="H26" s="1041" t="s">
        <v>58</v>
      </c>
    </row>
    <row r="27" spans="1:10" ht="30" customHeight="1" x14ac:dyDescent="0.25">
      <c r="A27" s="267" t="s">
        <v>435</v>
      </c>
      <c r="B27" s="252">
        <f>-'Sumář příjmů a výdajů'!B77</f>
        <v>-8031</v>
      </c>
      <c r="C27" s="253">
        <f>-'Sumář příjmů a výdajů'!C77</f>
        <v>-8030.3</v>
      </c>
      <c r="D27" s="252">
        <f>-'Sumář příjmů a výdajů'!D77</f>
        <v>-35292</v>
      </c>
      <c r="E27" s="254">
        <f>-'Sumář příjmů a výdajů'!E77</f>
        <v>-35292</v>
      </c>
      <c r="F27" s="254">
        <f>-'Sumář příjmů a výdajů'!F77</f>
        <v>-14440.56</v>
      </c>
      <c r="G27" s="256">
        <f>-'Sumář příjmů a výdajů'!G77</f>
        <v>-61830</v>
      </c>
      <c r="H27" s="1040">
        <f t="shared" si="0"/>
        <v>175.19551173070386</v>
      </c>
    </row>
    <row r="28" spans="1:10" ht="20.25" customHeight="1" x14ac:dyDescent="0.25">
      <c r="A28" s="267" t="s">
        <v>368</v>
      </c>
      <c r="B28" s="252">
        <f>-'Sumář příjmů a výdajů'!B78</f>
        <v>0</v>
      </c>
      <c r="C28" s="253">
        <f>-'Sumář příjmů a výdajů'!C78</f>
        <v>0</v>
      </c>
      <c r="D28" s="252">
        <f>-'Sumář příjmů a výdajů'!D78</f>
        <v>0</v>
      </c>
      <c r="E28" s="254">
        <f>-'Sumář příjmů a výdajů'!E78</f>
        <v>0</v>
      </c>
      <c r="F28" s="254">
        <f>-'Sumář příjmů a výdajů'!F78</f>
        <v>-3153329.92</v>
      </c>
      <c r="G28" s="256">
        <v>0</v>
      </c>
      <c r="H28" s="1041" t="s">
        <v>58</v>
      </c>
    </row>
    <row r="29" spans="1:10" ht="20.25" customHeight="1" x14ac:dyDescent="0.25">
      <c r="A29" s="267" t="s">
        <v>66</v>
      </c>
      <c r="B29" s="252">
        <v>0</v>
      </c>
      <c r="C29" s="253">
        <f>-'Sumář příjmů a výdajů'!C79</f>
        <v>-54550.18</v>
      </c>
      <c r="D29" s="265">
        <f>-'Sumář příjmů a výdajů'!D79</f>
        <v>0</v>
      </c>
      <c r="E29" s="265">
        <f>-'Sumář příjmů a výdajů'!E79</f>
        <v>0</v>
      </c>
      <c r="F29" s="265">
        <f>-'Sumář příjmů a výdajů'!F79</f>
        <v>-655.44</v>
      </c>
      <c r="G29" s="256">
        <v>0</v>
      </c>
      <c r="H29" s="1041" t="s">
        <v>58</v>
      </c>
    </row>
    <row r="30" spans="1:10" s="613" customFormat="1" ht="30.15" customHeight="1" thickBot="1" x14ac:dyDescent="0.3">
      <c r="A30" s="866" t="s">
        <v>41</v>
      </c>
      <c r="B30" s="350">
        <f t="shared" ref="B30:G30" si="7">SUM(B21:B29)</f>
        <v>1701249</v>
      </c>
      <c r="C30" s="913">
        <f t="shared" si="7"/>
        <v>78031.5</v>
      </c>
      <c r="D30" s="350">
        <f t="shared" si="7"/>
        <v>1432349</v>
      </c>
      <c r="E30" s="653">
        <f t="shared" si="7"/>
        <v>7641166.8600000003</v>
      </c>
      <c r="F30" s="654">
        <f t="shared" si="7"/>
        <v>-3651758.25</v>
      </c>
      <c r="G30" s="655">
        <f t="shared" si="7"/>
        <v>2005272</v>
      </c>
      <c r="H30" s="656">
        <f t="shared" si="0"/>
        <v>139.99884106457296</v>
      </c>
      <c r="I30" s="524"/>
      <c r="J30" s="524"/>
    </row>
    <row r="31" spans="1:10" s="613" customFormat="1" ht="6" customHeight="1" thickBot="1" x14ac:dyDescent="0.3">
      <c r="A31" s="268"/>
      <c r="B31" s="269"/>
      <c r="C31" s="270"/>
      <c r="D31" s="269"/>
      <c r="E31" s="271"/>
      <c r="F31" s="272"/>
      <c r="G31" s="273"/>
      <c r="H31" s="274"/>
      <c r="I31" s="524"/>
      <c r="J31" s="524"/>
    </row>
    <row r="32" spans="1:10" s="613" customFormat="1" ht="30" customHeight="1" thickBot="1" x14ac:dyDescent="0.3">
      <c r="A32" s="275" t="s">
        <v>17</v>
      </c>
      <c r="B32" s="915">
        <f t="shared" ref="B32:G32" si="8">SUM(B19+B30)</f>
        <v>0</v>
      </c>
      <c r="C32" s="914">
        <f t="shared" si="8"/>
        <v>0</v>
      </c>
      <c r="D32" s="276">
        <f t="shared" si="8"/>
        <v>0</v>
      </c>
      <c r="E32" s="651">
        <f t="shared" si="8"/>
        <v>9.3132257461547852E-10</v>
      </c>
      <c r="F32" s="277">
        <f t="shared" si="8"/>
        <v>7.4505805969238281E-9</v>
      </c>
      <c r="G32" s="278">
        <f t="shared" si="8"/>
        <v>0</v>
      </c>
      <c r="H32" s="279" t="s">
        <v>58</v>
      </c>
      <c r="I32" s="524"/>
      <c r="J32" s="524"/>
    </row>
    <row r="33" spans="1:8" ht="15.6" x14ac:dyDescent="0.25">
      <c r="A33" s="616"/>
    </row>
    <row r="34" spans="1:8" ht="15.6" x14ac:dyDescent="0.25">
      <c r="A34" s="616"/>
    </row>
    <row r="35" spans="1:8" ht="38.25" customHeight="1" x14ac:dyDescent="0.25">
      <c r="A35" s="1059" t="s">
        <v>327</v>
      </c>
      <c r="B35" s="1059"/>
      <c r="C35" s="1059"/>
      <c r="D35" s="1059"/>
      <c r="E35" s="1059"/>
      <c r="F35" s="1059"/>
      <c r="G35" s="1059"/>
      <c r="H35" s="1059"/>
    </row>
    <row r="36" spans="1:8" ht="15.6" x14ac:dyDescent="0.25">
      <c r="A36" s="616"/>
    </row>
    <row r="37" spans="1:8" ht="15.6" x14ac:dyDescent="0.25">
      <c r="A37" s="616"/>
    </row>
    <row r="38" spans="1:8" ht="15.6" x14ac:dyDescent="0.25">
      <c r="A38" s="616"/>
    </row>
    <row r="39" spans="1:8" ht="15.6" x14ac:dyDescent="0.25">
      <c r="A39" s="616"/>
    </row>
    <row r="40" spans="1:8" ht="15.6" x14ac:dyDescent="0.25">
      <c r="A40" s="616"/>
    </row>
    <row r="41" spans="1:8" ht="15.6" x14ac:dyDescent="0.25">
      <c r="A41" s="616"/>
    </row>
    <row r="42" spans="1:8" ht="15.6" x14ac:dyDescent="0.25">
      <c r="A42" s="616"/>
    </row>
    <row r="43" spans="1:8" ht="15.6" x14ac:dyDescent="0.25">
      <c r="A43" s="616"/>
    </row>
    <row r="44" spans="1:8" ht="15.6" x14ac:dyDescent="0.25">
      <c r="A44" s="616"/>
    </row>
    <row r="446" spans="1:1" x14ac:dyDescent="0.25">
      <c r="A446" s="617"/>
    </row>
  </sheetData>
  <mergeCells count="6">
    <mergeCell ref="A35:H35"/>
    <mergeCell ref="B7:C7"/>
    <mergeCell ref="A7:A8"/>
    <mergeCell ref="D7:F7"/>
    <mergeCell ref="G7:G8"/>
    <mergeCell ref="H7:H8"/>
  </mergeCells>
  <phoneticPr fontId="9" type="noConversion"/>
  <printOptions horizontalCentered="1"/>
  <pageMargins left="0.59055118110236227" right="0.59055118110236227" top="0.78740157480314965" bottom="0.78740157480314965" header="0.59055118110236227" footer="0.59055118110236227"/>
  <pageSetup paperSize="9" scale="6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L37"/>
  <sheetViews>
    <sheetView workbookViewId="0">
      <selection activeCell="C1" sqref="C1"/>
    </sheetView>
  </sheetViews>
  <sheetFormatPr defaultColWidth="9.109375" defaultRowHeight="13.8" x14ac:dyDescent="0.3"/>
  <cols>
    <col min="1" max="1" width="7.6640625" style="1" customWidth="1"/>
    <col min="2" max="2" width="6.6640625" style="1" customWidth="1"/>
    <col min="3" max="3" width="40.6640625" style="1" customWidth="1"/>
    <col min="4" max="4" width="14.6640625" style="2" customWidth="1"/>
    <col min="5" max="5" width="14.6640625" style="3" customWidth="1"/>
    <col min="6" max="6" width="14.6640625" style="2" customWidth="1"/>
    <col min="7" max="7" width="16.44140625" style="3" customWidth="1"/>
    <col min="8" max="8" width="14.6640625" style="3" customWidth="1"/>
    <col min="9" max="9" width="14.6640625" style="697" customWidth="1"/>
    <col min="10" max="11" width="9.6640625" style="5" customWidth="1"/>
    <col min="12" max="16384" width="9.109375" style="1"/>
  </cols>
  <sheetData>
    <row r="1" spans="1:11" ht="15" customHeight="1" x14ac:dyDescent="0.3">
      <c r="C1" s="1" t="s">
        <v>574</v>
      </c>
      <c r="K1" s="6"/>
    </row>
    <row r="2" spans="1:11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</row>
    <row r="3" spans="1:11" ht="15" customHeight="1" x14ac:dyDescent="0.3"/>
    <row r="4" spans="1:11" ht="20.100000000000001" customHeight="1" x14ac:dyDescent="0.35">
      <c r="A4" s="7" t="s">
        <v>169</v>
      </c>
      <c r="J4" s="8"/>
    </row>
    <row r="5" spans="1:11" ht="15" customHeight="1" thickBot="1" x14ac:dyDescent="0.4">
      <c r="A5" s="7"/>
      <c r="K5" s="8" t="s">
        <v>0</v>
      </c>
    </row>
    <row r="6" spans="1:11" s="62" customFormat="1" ht="15.75" customHeight="1" x14ac:dyDescent="0.2">
      <c r="A6" s="1159" t="s">
        <v>85</v>
      </c>
      <c r="B6" s="1165" t="s">
        <v>97</v>
      </c>
      <c r="C6" s="1166"/>
      <c r="D6" s="1060" t="s">
        <v>402</v>
      </c>
      <c r="E6" s="1061"/>
      <c r="F6" s="1060" t="s">
        <v>450</v>
      </c>
      <c r="G6" s="1064"/>
      <c r="H6" s="1061"/>
      <c r="I6" s="1169" t="s">
        <v>507</v>
      </c>
      <c r="J6" s="1161" t="s">
        <v>508</v>
      </c>
      <c r="K6" s="1163" t="s">
        <v>509</v>
      </c>
    </row>
    <row r="7" spans="1:11" s="62" customFormat="1" ht="30.9" customHeight="1" thickBot="1" x14ac:dyDescent="0.25">
      <c r="A7" s="1160"/>
      <c r="B7" s="1167"/>
      <c r="C7" s="1168"/>
      <c r="D7" s="236" t="s">
        <v>103</v>
      </c>
      <c r="E7" s="835" t="s">
        <v>520</v>
      </c>
      <c r="F7" s="236" t="s">
        <v>103</v>
      </c>
      <c r="G7" s="237" t="s">
        <v>556</v>
      </c>
      <c r="H7" s="238" t="s">
        <v>555</v>
      </c>
      <c r="I7" s="1170"/>
      <c r="J7" s="1162"/>
      <c r="K7" s="1164"/>
    </row>
    <row r="8" spans="1:11" s="9" customFormat="1" ht="20.100000000000001" customHeight="1" thickBot="1" x14ac:dyDescent="0.35">
      <c r="B8" s="10" t="s">
        <v>98</v>
      </c>
      <c r="C8" s="10"/>
      <c r="D8" s="11"/>
      <c r="E8" s="12"/>
      <c r="F8" s="14"/>
      <c r="G8" s="13"/>
      <c r="H8" s="13"/>
      <c r="I8" s="13"/>
      <c r="J8" s="16"/>
      <c r="K8" s="16"/>
    </row>
    <row r="9" spans="1:11" ht="30" customHeight="1" x14ac:dyDescent="0.3">
      <c r="A9" s="430">
        <v>2115</v>
      </c>
      <c r="B9" s="1155" t="s">
        <v>459</v>
      </c>
      <c r="C9" s="1156"/>
      <c r="D9" s="436">
        <v>0</v>
      </c>
      <c r="E9" s="431">
        <v>0</v>
      </c>
      <c r="F9" s="436">
        <v>100</v>
      </c>
      <c r="G9" s="494">
        <v>100</v>
      </c>
      <c r="H9" s="496">
        <v>0</v>
      </c>
      <c r="I9" s="955">
        <v>100</v>
      </c>
      <c r="J9" s="382">
        <f t="shared" ref="J9:J32" si="0">I9/F9*100</f>
        <v>100</v>
      </c>
      <c r="K9" s="383">
        <f t="shared" ref="K9:K32" si="1">I9/G9*100</f>
        <v>100</v>
      </c>
    </row>
    <row r="10" spans="1:11" ht="30" customHeight="1" x14ac:dyDescent="0.3">
      <c r="A10" s="564">
        <v>2115</v>
      </c>
      <c r="B10" s="1147" t="s">
        <v>525</v>
      </c>
      <c r="C10" s="1148"/>
      <c r="D10" s="497">
        <v>0</v>
      </c>
      <c r="E10" s="491">
        <v>0</v>
      </c>
      <c r="F10" s="497">
        <v>0</v>
      </c>
      <c r="G10" s="495">
        <v>435.6</v>
      </c>
      <c r="H10" s="484">
        <v>435.6</v>
      </c>
      <c r="I10" s="960">
        <v>1374</v>
      </c>
      <c r="J10" s="392" t="s">
        <v>58</v>
      </c>
      <c r="K10" s="393">
        <f t="shared" ref="K10:K12" si="2">I10/G10*100</f>
        <v>315.42699724517905</v>
      </c>
    </row>
    <row r="11" spans="1:11" ht="20.100000000000001" customHeight="1" x14ac:dyDescent="0.3">
      <c r="A11" s="564">
        <v>2143</v>
      </c>
      <c r="B11" s="1177" t="s">
        <v>170</v>
      </c>
      <c r="C11" s="1178"/>
      <c r="D11" s="497">
        <v>1500</v>
      </c>
      <c r="E11" s="491">
        <v>1929.59</v>
      </c>
      <c r="F11" s="497">
        <v>2000</v>
      </c>
      <c r="G11" s="495">
        <v>0</v>
      </c>
      <c r="H11" s="484">
        <v>0</v>
      </c>
      <c r="I11" s="960">
        <v>0</v>
      </c>
      <c r="J11" s="392">
        <f t="shared" si="0"/>
        <v>0</v>
      </c>
      <c r="K11" s="393" t="s">
        <v>58</v>
      </c>
    </row>
    <row r="12" spans="1:11" ht="20.100000000000001" customHeight="1" x14ac:dyDescent="0.3">
      <c r="A12" s="1153">
        <v>2223</v>
      </c>
      <c r="B12" s="1177" t="s">
        <v>178</v>
      </c>
      <c r="C12" s="1178"/>
      <c r="D12" s="497">
        <v>0</v>
      </c>
      <c r="E12" s="491">
        <v>31.5</v>
      </c>
      <c r="F12" s="497">
        <v>0</v>
      </c>
      <c r="G12" s="495">
        <v>449.71</v>
      </c>
      <c r="H12" s="484">
        <v>0</v>
      </c>
      <c r="I12" s="960">
        <v>0</v>
      </c>
      <c r="J12" s="392" t="s">
        <v>58</v>
      </c>
      <c r="K12" s="393">
        <f t="shared" si="2"/>
        <v>0</v>
      </c>
    </row>
    <row r="13" spans="1:11" ht="15" customHeight="1" x14ac:dyDescent="0.3">
      <c r="A13" s="1174"/>
      <c r="B13" s="863" t="s">
        <v>92</v>
      </c>
      <c r="C13" s="565" t="s">
        <v>138</v>
      </c>
      <c r="D13" s="79">
        <v>0</v>
      </c>
      <c r="E13" s="96">
        <v>31.5</v>
      </c>
      <c r="F13" s="93">
        <v>0</v>
      </c>
      <c r="G13" s="771">
        <v>449.71</v>
      </c>
      <c r="H13" s="772">
        <v>0</v>
      </c>
      <c r="I13" s="957">
        <v>0</v>
      </c>
      <c r="J13" s="91" t="s">
        <v>58</v>
      </c>
      <c r="K13" s="78" t="s">
        <v>58</v>
      </c>
    </row>
    <row r="14" spans="1:11" s="65" customFormat="1" ht="29.25" customHeight="1" x14ac:dyDescent="0.3">
      <c r="A14" s="1153">
        <v>2510</v>
      </c>
      <c r="B14" s="1147" t="s">
        <v>184</v>
      </c>
      <c r="C14" s="1148"/>
      <c r="D14" s="497">
        <f>SUM(D15:D18)</f>
        <v>28220</v>
      </c>
      <c r="E14" s="491">
        <f t="shared" ref="E14:I14" si="3">SUM(E15:E18)</f>
        <v>28220</v>
      </c>
      <c r="F14" s="497">
        <f t="shared" si="3"/>
        <v>28140</v>
      </c>
      <c r="G14" s="495">
        <f t="shared" si="3"/>
        <v>28680</v>
      </c>
      <c r="H14" s="484">
        <f t="shared" si="3"/>
        <v>21645</v>
      </c>
      <c r="I14" s="960">
        <f t="shared" si="3"/>
        <v>29500</v>
      </c>
      <c r="J14" s="427">
        <f t="shared" si="0"/>
        <v>104.83297796730633</v>
      </c>
      <c r="K14" s="401">
        <f t="shared" si="1"/>
        <v>102.85913528591352</v>
      </c>
    </row>
    <row r="15" spans="1:11" s="63" customFormat="1" ht="15" customHeight="1" x14ac:dyDescent="0.3">
      <c r="A15" s="1154"/>
      <c r="B15" s="1171" t="s">
        <v>92</v>
      </c>
      <c r="C15" s="565" t="s">
        <v>124</v>
      </c>
      <c r="D15" s="93">
        <v>4804</v>
      </c>
      <c r="E15" s="92">
        <v>4804</v>
      </c>
      <c r="F15" s="93">
        <v>4590</v>
      </c>
      <c r="G15" s="80">
        <v>4590</v>
      </c>
      <c r="H15" s="94">
        <v>3442.5</v>
      </c>
      <c r="I15" s="957">
        <v>4698</v>
      </c>
      <c r="J15" s="91">
        <f>I15/F15*100</f>
        <v>102.35294117647058</v>
      </c>
      <c r="K15" s="78">
        <f>I15/G15*100</f>
        <v>102.35294117647058</v>
      </c>
    </row>
    <row r="16" spans="1:11" s="63" customFormat="1" ht="15" customHeight="1" x14ac:dyDescent="0.3">
      <c r="A16" s="1154"/>
      <c r="B16" s="1172"/>
      <c r="C16" s="565" t="s">
        <v>346</v>
      </c>
      <c r="D16" s="93">
        <v>23092</v>
      </c>
      <c r="E16" s="92">
        <v>23092</v>
      </c>
      <c r="F16" s="93">
        <v>23310</v>
      </c>
      <c r="G16" s="80">
        <v>23850</v>
      </c>
      <c r="H16" s="94">
        <v>18022.5</v>
      </c>
      <c r="I16" s="957">
        <v>24574</v>
      </c>
      <c r="J16" s="91">
        <f>I16/F16*100</f>
        <v>105.42256542256543</v>
      </c>
      <c r="K16" s="78">
        <f>I16/G16*100</f>
        <v>103.0356394129979</v>
      </c>
    </row>
    <row r="17" spans="1:12" s="63" customFormat="1" ht="15" customHeight="1" x14ac:dyDescent="0.3">
      <c r="A17" s="1154"/>
      <c r="B17" s="1172"/>
      <c r="C17" s="565" t="s">
        <v>125</v>
      </c>
      <c r="D17" s="93">
        <v>48</v>
      </c>
      <c r="E17" s="92">
        <v>48</v>
      </c>
      <c r="F17" s="93">
        <v>48</v>
      </c>
      <c r="G17" s="80">
        <v>48</v>
      </c>
      <c r="H17" s="94">
        <v>36</v>
      </c>
      <c r="I17" s="957">
        <v>48</v>
      </c>
      <c r="J17" s="91">
        <f>I17/F17*100</f>
        <v>100</v>
      </c>
      <c r="K17" s="78">
        <f>I17/G17*100</f>
        <v>100</v>
      </c>
    </row>
    <row r="18" spans="1:12" s="63" customFormat="1" ht="15" customHeight="1" x14ac:dyDescent="0.3">
      <c r="A18" s="1154"/>
      <c r="B18" s="1172"/>
      <c r="C18" s="565" t="s">
        <v>378</v>
      </c>
      <c r="D18" s="778">
        <v>276</v>
      </c>
      <c r="E18" s="81">
        <v>276</v>
      </c>
      <c r="F18" s="93">
        <v>192</v>
      </c>
      <c r="G18" s="80">
        <v>192</v>
      </c>
      <c r="H18" s="94">
        <v>144</v>
      </c>
      <c r="I18" s="957">
        <v>180</v>
      </c>
      <c r="J18" s="91">
        <f t="shared" si="0"/>
        <v>93.75</v>
      </c>
      <c r="K18" s="78">
        <f t="shared" si="1"/>
        <v>93.75</v>
      </c>
    </row>
    <row r="19" spans="1:12" s="63" customFormat="1" ht="20.100000000000001" customHeight="1" x14ac:dyDescent="0.3">
      <c r="A19" s="428">
        <v>2510</v>
      </c>
      <c r="B19" s="1147" t="s">
        <v>176</v>
      </c>
      <c r="C19" s="1148"/>
      <c r="D19" s="450">
        <v>44381</v>
      </c>
      <c r="E19" s="413">
        <f>44381-5</f>
        <v>44376</v>
      </c>
      <c r="F19" s="450">
        <v>45575</v>
      </c>
      <c r="G19" s="452">
        <v>35575</v>
      </c>
      <c r="H19" s="453">
        <v>35575</v>
      </c>
      <c r="I19" s="956">
        <v>44500</v>
      </c>
      <c r="J19" s="427">
        <f t="shared" si="0"/>
        <v>97.641250685682948</v>
      </c>
      <c r="K19" s="401">
        <f t="shared" si="1"/>
        <v>125.08784258608574</v>
      </c>
    </row>
    <row r="20" spans="1:12" s="63" customFormat="1" ht="27" customHeight="1" x14ac:dyDescent="0.3">
      <c r="A20" s="428">
        <v>2510</v>
      </c>
      <c r="B20" s="1147" t="s">
        <v>460</v>
      </c>
      <c r="C20" s="1148"/>
      <c r="D20" s="450">
        <v>0</v>
      </c>
      <c r="E20" s="413">
        <v>5</v>
      </c>
      <c r="F20" s="450">
        <v>5</v>
      </c>
      <c r="G20" s="452">
        <v>5</v>
      </c>
      <c r="H20" s="453">
        <v>5</v>
      </c>
      <c r="I20" s="956">
        <v>5</v>
      </c>
      <c r="J20" s="427">
        <f t="shared" si="0"/>
        <v>100</v>
      </c>
      <c r="K20" s="401">
        <f t="shared" si="1"/>
        <v>100</v>
      </c>
    </row>
    <row r="21" spans="1:12" s="63" customFormat="1" ht="20.100000000000001" customHeight="1" x14ac:dyDescent="0.3">
      <c r="A21" s="428">
        <v>2510</v>
      </c>
      <c r="B21" s="1147" t="s">
        <v>433</v>
      </c>
      <c r="C21" s="1148"/>
      <c r="D21" s="562">
        <v>0</v>
      </c>
      <c r="E21" s="491">
        <v>2256.1799999999998</v>
      </c>
      <c r="F21" s="562">
        <v>0</v>
      </c>
      <c r="G21" s="495">
        <v>0</v>
      </c>
      <c r="H21" s="484">
        <v>0</v>
      </c>
      <c r="I21" s="956">
        <v>0</v>
      </c>
      <c r="J21" s="427" t="s">
        <v>58</v>
      </c>
      <c r="K21" s="401" t="s">
        <v>58</v>
      </c>
    </row>
    <row r="22" spans="1:12" s="63" customFormat="1" ht="54.75" customHeight="1" x14ac:dyDescent="0.3">
      <c r="A22" s="564">
        <v>3636</v>
      </c>
      <c r="B22" s="1147" t="s">
        <v>477</v>
      </c>
      <c r="C22" s="1148"/>
      <c r="D22" s="562">
        <v>0</v>
      </c>
      <c r="E22" s="491">
        <v>800</v>
      </c>
      <c r="F22" s="562">
        <v>0</v>
      </c>
      <c r="G22" s="495">
        <v>0</v>
      </c>
      <c r="H22" s="484">
        <v>0</v>
      </c>
      <c r="I22" s="956">
        <v>0</v>
      </c>
      <c r="J22" s="427" t="s">
        <v>58</v>
      </c>
      <c r="K22" s="401" t="s">
        <v>58</v>
      </c>
    </row>
    <row r="23" spans="1:12" s="63" customFormat="1" ht="54.75" customHeight="1" x14ac:dyDescent="0.3">
      <c r="A23" s="564">
        <v>3636</v>
      </c>
      <c r="B23" s="1147" t="s">
        <v>538</v>
      </c>
      <c r="C23" s="1148"/>
      <c r="D23" s="562">
        <v>0</v>
      </c>
      <c r="E23" s="491">
        <v>0</v>
      </c>
      <c r="F23" s="562">
        <v>0</v>
      </c>
      <c r="G23" s="495">
        <v>1000</v>
      </c>
      <c r="H23" s="484">
        <v>1000</v>
      </c>
      <c r="I23" s="956">
        <v>0</v>
      </c>
      <c r="J23" s="427" t="s">
        <v>58</v>
      </c>
      <c r="K23" s="401">
        <f t="shared" ref="K23:K26" si="4">I23/G23*100</f>
        <v>0</v>
      </c>
    </row>
    <row r="24" spans="1:12" s="63" customFormat="1" ht="34.5" customHeight="1" x14ac:dyDescent="0.3">
      <c r="A24" s="564">
        <v>3636</v>
      </c>
      <c r="B24" s="1147" t="s">
        <v>539</v>
      </c>
      <c r="C24" s="1148"/>
      <c r="D24" s="562">
        <v>0</v>
      </c>
      <c r="E24" s="491">
        <v>0</v>
      </c>
      <c r="F24" s="562">
        <v>0</v>
      </c>
      <c r="G24" s="495">
        <v>1000</v>
      </c>
      <c r="H24" s="484">
        <v>1000</v>
      </c>
      <c r="I24" s="956">
        <v>0</v>
      </c>
      <c r="J24" s="427" t="s">
        <v>58</v>
      </c>
      <c r="K24" s="401">
        <f t="shared" si="4"/>
        <v>0</v>
      </c>
    </row>
    <row r="25" spans="1:12" s="63" customFormat="1" ht="67.5" customHeight="1" x14ac:dyDescent="0.3">
      <c r="A25" s="564">
        <v>3713</v>
      </c>
      <c r="B25" s="1147" t="s">
        <v>540</v>
      </c>
      <c r="C25" s="1148"/>
      <c r="D25" s="562">
        <v>0</v>
      </c>
      <c r="E25" s="491">
        <v>0</v>
      </c>
      <c r="F25" s="562">
        <v>0</v>
      </c>
      <c r="G25" s="495">
        <v>485.95</v>
      </c>
      <c r="H25" s="484">
        <v>0</v>
      </c>
      <c r="I25" s="956">
        <v>0</v>
      </c>
      <c r="J25" s="427" t="s">
        <v>58</v>
      </c>
      <c r="K25" s="401">
        <f t="shared" si="4"/>
        <v>0</v>
      </c>
    </row>
    <row r="26" spans="1:12" s="63" customFormat="1" ht="31.5" customHeight="1" x14ac:dyDescent="0.3">
      <c r="A26" s="564">
        <v>3714</v>
      </c>
      <c r="B26" s="1147" t="s">
        <v>541</v>
      </c>
      <c r="C26" s="1148"/>
      <c r="D26" s="562">
        <v>0</v>
      </c>
      <c r="E26" s="491">
        <v>0</v>
      </c>
      <c r="F26" s="562">
        <v>0</v>
      </c>
      <c r="G26" s="495">
        <v>200</v>
      </c>
      <c r="H26" s="484">
        <v>0</v>
      </c>
      <c r="I26" s="956">
        <v>0</v>
      </c>
      <c r="J26" s="427" t="s">
        <v>58</v>
      </c>
      <c r="K26" s="401">
        <f t="shared" si="4"/>
        <v>0</v>
      </c>
    </row>
    <row r="27" spans="1:12" s="63" customFormat="1" ht="20.100000000000001" customHeight="1" x14ac:dyDescent="0.3">
      <c r="A27" s="564">
        <v>6172</v>
      </c>
      <c r="B27" s="1231" t="s">
        <v>376</v>
      </c>
      <c r="C27" s="1232"/>
      <c r="D27" s="497">
        <v>2250</v>
      </c>
      <c r="E27" s="491">
        <v>2101.77</v>
      </c>
      <c r="F27" s="497">
        <v>400</v>
      </c>
      <c r="G27" s="390">
        <v>1037.68</v>
      </c>
      <c r="H27" s="484">
        <v>965.58</v>
      </c>
      <c r="I27" s="956">
        <v>0</v>
      </c>
      <c r="J27" s="427">
        <f t="shared" si="0"/>
        <v>0</v>
      </c>
      <c r="K27" s="401">
        <f t="shared" si="1"/>
        <v>0</v>
      </c>
    </row>
    <row r="28" spans="1:12" s="63" customFormat="1" ht="20.100000000000001" customHeight="1" x14ac:dyDescent="0.3">
      <c r="A28" s="564">
        <v>6172</v>
      </c>
      <c r="B28" s="1231" t="s">
        <v>565</v>
      </c>
      <c r="C28" s="1232"/>
      <c r="D28" s="497">
        <v>0</v>
      </c>
      <c r="E28" s="491">
        <v>0</v>
      </c>
      <c r="F28" s="497">
        <v>1059</v>
      </c>
      <c r="G28" s="390">
        <v>2559</v>
      </c>
      <c r="H28" s="484">
        <v>1148.9000000000001</v>
      </c>
      <c r="I28" s="956">
        <v>1303</v>
      </c>
      <c r="J28" s="427">
        <f t="shared" si="0"/>
        <v>123.04060434372049</v>
      </c>
      <c r="K28" s="401">
        <f t="shared" si="1"/>
        <v>50.918327471668626</v>
      </c>
    </row>
    <row r="29" spans="1:12" s="63" customFormat="1" ht="20.100000000000001" customHeight="1" x14ac:dyDescent="0.3">
      <c r="A29" s="564">
        <v>6172</v>
      </c>
      <c r="B29" s="1231" t="s">
        <v>461</v>
      </c>
      <c r="C29" s="1232"/>
      <c r="D29" s="497">
        <v>0</v>
      </c>
      <c r="E29" s="491">
        <v>0</v>
      </c>
      <c r="F29" s="497">
        <v>20</v>
      </c>
      <c r="G29" s="390">
        <v>20</v>
      </c>
      <c r="H29" s="484">
        <v>16.09</v>
      </c>
      <c r="I29" s="956">
        <v>0</v>
      </c>
      <c r="J29" s="427">
        <f t="shared" si="0"/>
        <v>0</v>
      </c>
      <c r="K29" s="401">
        <f t="shared" si="1"/>
        <v>0</v>
      </c>
    </row>
    <row r="30" spans="1:12" s="63" customFormat="1" ht="20.100000000000001" customHeight="1" x14ac:dyDescent="0.3">
      <c r="A30" s="564">
        <v>6172</v>
      </c>
      <c r="B30" s="1231" t="s">
        <v>434</v>
      </c>
      <c r="C30" s="1232"/>
      <c r="D30" s="497">
        <v>0</v>
      </c>
      <c r="E30" s="491">
        <v>87.12</v>
      </c>
      <c r="F30" s="497">
        <v>0</v>
      </c>
      <c r="G30" s="390">
        <v>632.47</v>
      </c>
      <c r="H30" s="484">
        <v>50.26</v>
      </c>
      <c r="I30" s="956">
        <v>0</v>
      </c>
      <c r="J30" s="427" t="s">
        <v>58</v>
      </c>
      <c r="K30" s="401">
        <f t="shared" si="1"/>
        <v>0</v>
      </c>
    </row>
    <row r="31" spans="1:12" s="63" customFormat="1" ht="20.100000000000001" customHeight="1" thickBot="1" x14ac:dyDescent="0.35">
      <c r="A31" s="564">
        <v>6172</v>
      </c>
      <c r="B31" s="1147" t="s">
        <v>443</v>
      </c>
      <c r="C31" s="1148"/>
      <c r="D31" s="497">
        <v>100</v>
      </c>
      <c r="E31" s="491">
        <v>127.5</v>
      </c>
      <c r="F31" s="497">
        <v>100</v>
      </c>
      <c r="G31" s="390">
        <f>178.87+16</f>
        <v>194.87</v>
      </c>
      <c r="H31" s="484">
        <v>5.2</v>
      </c>
      <c r="I31" s="956">
        <v>50</v>
      </c>
      <c r="J31" s="427">
        <f t="shared" si="0"/>
        <v>50</v>
      </c>
      <c r="K31" s="401">
        <f t="shared" si="1"/>
        <v>25.658131061733464</v>
      </c>
    </row>
    <row r="32" spans="1:12" s="19" customFormat="1" ht="20.100000000000001" customHeight="1" thickBot="1" x14ac:dyDescent="0.35">
      <c r="A32" s="168"/>
      <c r="B32" s="348" t="s">
        <v>82</v>
      </c>
      <c r="C32" s="569"/>
      <c r="D32" s="169">
        <f>SUM(D9:D14)+SUM(D19:D31)</f>
        <v>76451</v>
      </c>
      <c r="E32" s="182">
        <f>SUM(E9:E12)+E14+SUM(E19:E31)</f>
        <v>79934.66</v>
      </c>
      <c r="F32" s="169">
        <f>SUM(F9:F14)+SUM(F19:F31)</f>
        <v>77399</v>
      </c>
      <c r="G32" s="171">
        <f>SUM(G9:G12)+G14+SUM(G19:G31)</f>
        <v>72375.28</v>
      </c>
      <c r="H32" s="171">
        <f>SUM(H9:H12)+H14+SUM(H19:H31)</f>
        <v>61846.63</v>
      </c>
      <c r="I32" s="959">
        <f>SUM(I9:I14)+SUM(I19:I31)</f>
        <v>76832</v>
      </c>
      <c r="J32" s="180">
        <f t="shared" si="0"/>
        <v>99.267432395767386</v>
      </c>
      <c r="K32" s="173">
        <f t="shared" si="1"/>
        <v>106.15779310283844</v>
      </c>
      <c r="L32" s="9"/>
    </row>
    <row r="33" spans="1:11" x14ac:dyDescent="0.3">
      <c r="A33" s="29"/>
      <c r="I33" s="31"/>
    </row>
    <row r="34" spans="1:11" x14ac:dyDescent="0.3">
      <c r="D34" s="3"/>
      <c r="F34" s="3"/>
      <c r="I34" s="3"/>
      <c r="J34" s="3"/>
      <c r="K34" s="3"/>
    </row>
    <row r="35" spans="1:11" x14ac:dyDescent="0.3">
      <c r="D35" s="3"/>
      <c r="F35" s="3"/>
      <c r="I35" s="3"/>
      <c r="J35" s="892"/>
    </row>
    <row r="37" spans="1:11" ht="15.6" x14ac:dyDescent="0.3">
      <c r="A37" s="19"/>
      <c r="F37" s="3"/>
    </row>
  </sheetData>
  <mergeCells count="29">
    <mergeCell ref="B30:C30"/>
    <mergeCell ref="B31:C31"/>
    <mergeCell ref="B27:C27"/>
    <mergeCell ref="B21:C21"/>
    <mergeCell ref="B11:C11"/>
    <mergeCell ref="B20:C20"/>
    <mergeCell ref="B28:C28"/>
    <mergeCell ref="B29:C29"/>
    <mergeCell ref="B19:C19"/>
    <mergeCell ref="B22:C22"/>
    <mergeCell ref="B23:C23"/>
    <mergeCell ref="B24:C24"/>
    <mergeCell ref="B25:C25"/>
    <mergeCell ref="B26:C26"/>
    <mergeCell ref="A14:A18"/>
    <mergeCell ref="B14:C14"/>
    <mergeCell ref="B15:B18"/>
    <mergeCell ref="B12:C12"/>
    <mergeCell ref="B9:C9"/>
    <mergeCell ref="A12:A13"/>
    <mergeCell ref="B10:C10"/>
    <mergeCell ref="A2:K2"/>
    <mergeCell ref="A6:A7"/>
    <mergeCell ref="D6:E6"/>
    <mergeCell ref="F6:H6"/>
    <mergeCell ref="J6:J7"/>
    <mergeCell ref="K6:K7"/>
    <mergeCell ref="B6:C7"/>
    <mergeCell ref="I6:I7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56" fitToHeight="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L29"/>
  <sheetViews>
    <sheetView workbookViewId="0">
      <selection activeCell="C1" sqref="C1"/>
    </sheetView>
  </sheetViews>
  <sheetFormatPr defaultColWidth="9.109375" defaultRowHeight="13.8" x14ac:dyDescent="0.25"/>
  <cols>
    <col min="1" max="1" width="7.6640625" style="66" customWidth="1"/>
    <col min="2" max="2" width="7.109375" style="66" customWidth="1"/>
    <col min="3" max="3" width="40.6640625" style="66" customWidth="1"/>
    <col min="4" max="4" width="14.6640625" style="71" customWidth="1"/>
    <col min="5" max="5" width="14.6640625" style="138" customWidth="1"/>
    <col min="6" max="6" width="14.6640625" style="71" customWidth="1"/>
    <col min="7" max="7" width="16" style="138" customWidth="1"/>
    <col min="8" max="8" width="14.6640625" style="138" customWidth="1"/>
    <col min="9" max="9" width="14.6640625" style="584" customWidth="1"/>
    <col min="10" max="11" width="9.6640625" style="139" customWidth="1"/>
    <col min="12" max="16384" width="9.109375" style="66"/>
  </cols>
  <sheetData>
    <row r="1" spans="1:11" ht="14.4" x14ac:dyDescent="0.25">
      <c r="C1" s="66" t="s">
        <v>574</v>
      </c>
      <c r="K1" s="140"/>
    </row>
    <row r="2" spans="1:11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</row>
    <row r="3" spans="1:11" ht="15" customHeight="1" x14ac:dyDescent="0.25">
      <c r="D3" s="71" t="s">
        <v>168</v>
      </c>
    </row>
    <row r="4" spans="1:11" ht="20.100000000000001" customHeight="1" x14ac:dyDescent="0.25">
      <c r="A4" s="67" t="s">
        <v>140</v>
      </c>
      <c r="J4" s="302"/>
    </row>
    <row r="5" spans="1:11" ht="15" customHeight="1" thickBot="1" x14ac:dyDescent="0.3">
      <c r="A5" s="67"/>
      <c r="K5" s="302" t="s">
        <v>0</v>
      </c>
    </row>
    <row r="6" spans="1:11" s="142" customFormat="1" ht="15.9" customHeight="1" x14ac:dyDescent="0.25">
      <c r="A6" s="1159" t="s">
        <v>85</v>
      </c>
      <c r="B6" s="1165" t="s">
        <v>97</v>
      </c>
      <c r="C6" s="1166"/>
      <c r="D6" s="1060" t="s">
        <v>402</v>
      </c>
      <c r="E6" s="1061"/>
      <c r="F6" s="1060" t="s">
        <v>450</v>
      </c>
      <c r="G6" s="1064"/>
      <c r="H6" s="1061"/>
      <c r="I6" s="1169" t="s">
        <v>507</v>
      </c>
      <c r="J6" s="1161" t="s">
        <v>508</v>
      </c>
      <c r="K6" s="1163" t="s">
        <v>509</v>
      </c>
    </row>
    <row r="7" spans="1:11" s="142" customFormat="1" ht="30.9" customHeight="1" thickBot="1" x14ac:dyDescent="0.3">
      <c r="A7" s="1160"/>
      <c r="B7" s="1167"/>
      <c r="C7" s="1168"/>
      <c r="D7" s="236" t="s">
        <v>103</v>
      </c>
      <c r="E7" s="835" t="s">
        <v>520</v>
      </c>
      <c r="F7" s="236" t="s">
        <v>103</v>
      </c>
      <c r="G7" s="237" t="s">
        <v>556</v>
      </c>
      <c r="H7" s="238" t="s">
        <v>555</v>
      </c>
      <c r="I7" s="1170"/>
      <c r="J7" s="1162"/>
      <c r="K7" s="1164"/>
    </row>
    <row r="8" spans="1:11" s="68" customFormat="1" ht="20.100000000000001" customHeight="1" thickBot="1" x14ac:dyDescent="0.3">
      <c r="B8" s="303" t="s">
        <v>98</v>
      </c>
      <c r="C8" s="303"/>
      <c r="D8" s="304"/>
      <c r="E8" s="305"/>
      <c r="F8" s="304"/>
      <c r="G8" s="146"/>
      <c r="H8" s="146"/>
      <c r="I8" s="731"/>
      <c r="J8" s="148"/>
      <c r="K8" s="148"/>
    </row>
    <row r="9" spans="1:11" s="410" customFormat="1" ht="30" customHeight="1" x14ac:dyDescent="0.25">
      <c r="A9" s="455">
        <v>1019</v>
      </c>
      <c r="B9" s="1237" t="s">
        <v>141</v>
      </c>
      <c r="C9" s="1238"/>
      <c r="D9" s="377">
        <v>1230</v>
      </c>
      <c r="E9" s="378">
        <v>1418.1</v>
      </c>
      <c r="F9" s="456">
        <v>1230</v>
      </c>
      <c r="G9" s="380">
        <v>2476.54</v>
      </c>
      <c r="H9" s="381">
        <v>1272.21</v>
      </c>
      <c r="I9" s="955">
        <v>1600</v>
      </c>
      <c r="J9" s="382">
        <f t="shared" ref="J9:J26" si="0">I9/F9*100</f>
        <v>130.08130081300811</v>
      </c>
      <c r="K9" s="383">
        <f t="shared" ref="K9:K26" si="1">I9/G9*100</f>
        <v>64.606265192567051</v>
      </c>
    </row>
    <row r="10" spans="1:11" s="410" customFormat="1" ht="20.100000000000001" customHeight="1" x14ac:dyDescent="0.25">
      <c r="A10" s="844">
        <v>1036</v>
      </c>
      <c r="B10" s="1235" t="s">
        <v>456</v>
      </c>
      <c r="C10" s="1236"/>
      <c r="D10" s="386">
        <v>0</v>
      </c>
      <c r="E10" s="387">
        <v>50</v>
      </c>
      <c r="F10" s="388">
        <v>0</v>
      </c>
      <c r="G10" s="390">
        <v>0</v>
      </c>
      <c r="H10" s="391">
        <v>0</v>
      </c>
      <c r="I10" s="956">
        <v>0</v>
      </c>
      <c r="J10" s="400" t="s">
        <v>58</v>
      </c>
      <c r="K10" s="401" t="s">
        <v>58</v>
      </c>
    </row>
    <row r="11" spans="1:11" s="410" customFormat="1" ht="20.100000000000001" customHeight="1" x14ac:dyDescent="0.25">
      <c r="A11" s="844">
        <v>1037</v>
      </c>
      <c r="B11" s="1235" t="s">
        <v>532</v>
      </c>
      <c r="C11" s="1236"/>
      <c r="D11" s="386">
        <v>0</v>
      </c>
      <c r="E11" s="387">
        <v>0</v>
      </c>
      <c r="F11" s="388">
        <v>0</v>
      </c>
      <c r="G11" s="390">
        <v>2</v>
      </c>
      <c r="H11" s="391">
        <v>1.1599999999999999</v>
      </c>
      <c r="I11" s="956">
        <v>0</v>
      </c>
      <c r="J11" s="400" t="s">
        <v>58</v>
      </c>
      <c r="K11" s="401">
        <f t="shared" ref="K11:K14" si="2">I11/G11*100</f>
        <v>0</v>
      </c>
    </row>
    <row r="12" spans="1:11" s="459" customFormat="1" ht="20.100000000000001" customHeight="1" x14ac:dyDescent="0.25">
      <c r="A12" s="457">
        <v>1070</v>
      </c>
      <c r="B12" s="1235" t="s">
        <v>356</v>
      </c>
      <c r="C12" s="1236"/>
      <c r="D12" s="395">
        <v>150</v>
      </c>
      <c r="E12" s="387">
        <v>152.19999999999999</v>
      </c>
      <c r="F12" s="458">
        <v>150</v>
      </c>
      <c r="G12" s="390">
        <v>150</v>
      </c>
      <c r="H12" s="391">
        <v>150</v>
      </c>
      <c r="I12" s="956">
        <v>200</v>
      </c>
      <c r="J12" s="400">
        <f t="shared" ref="J12:J14" si="3">I12/F12*100</f>
        <v>133.33333333333331</v>
      </c>
      <c r="K12" s="401">
        <f t="shared" si="2"/>
        <v>133.33333333333331</v>
      </c>
    </row>
    <row r="13" spans="1:11" s="459" customFormat="1" ht="20.100000000000001" customHeight="1" x14ac:dyDescent="0.25">
      <c r="A13" s="457">
        <v>2310</v>
      </c>
      <c r="B13" s="1235" t="s">
        <v>534</v>
      </c>
      <c r="C13" s="1236"/>
      <c r="D13" s="395">
        <v>0</v>
      </c>
      <c r="E13" s="387">
        <v>0</v>
      </c>
      <c r="F13" s="458">
        <v>0</v>
      </c>
      <c r="G13" s="390">
        <v>20000</v>
      </c>
      <c r="H13" s="391">
        <v>0</v>
      </c>
      <c r="I13" s="956">
        <v>0</v>
      </c>
      <c r="J13" s="400" t="s">
        <v>58</v>
      </c>
      <c r="K13" s="401">
        <f t="shared" si="2"/>
        <v>0</v>
      </c>
    </row>
    <row r="14" spans="1:11" s="459" customFormat="1" ht="29.25" customHeight="1" x14ac:dyDescent="0.25">
      <c r="A14" s="457">
        <v>2339</v>
      </c>
      <c r="B14" s="1235" t="s">
        <v>290</v>
      </c>
      <c r="C14" s="1236"/>
      <c r="D14" s="395">
        <v>300</v>
      </c>
      <c r="E14" s="387">
        <v>282.79000000000002</v>
      </c>
      <c r="F14" s="458">
        <v>300</v>
      </c>
      <c r="G14" s="390">
        <v>300</v>
      </c>
      <c r="H14" s="391">
        <v>0</v>
      </c>
      <c r="I14" s="956">
        <v>300</v>
      </c>
      <c r="J14" s="400">
        <f t="shared" si="3"/>
        <v>100</v>
      </c>
      <c r="K14" s="401">
        <f t="shared" si="2"/>
        <v>100</v>
      </c>
    </row>
    <row r="15" spans="1:11" s="459" customFormat="1" ht="30" customHeight="1" x14ac:dyDescent="0.25">
      <c r="A15" s="457">
        <v>3714</v>
      </c>
      <c r="B15" s="1235" t="s">
        <v>457</v>
      </c>
      <c r="C15" s="1236"/>
      <c r="D15" s="395">
        <v>0</v>
      </c>
      <c r="E15" s="387">
        <v>532.4</v>
      </c>
      <c r="F15" s="458">
        <v>0</v>
      </c>
      <c r="G15" s="390">
        <v>543.04999999999995</v>
      </c>
      <c r="H15" s="391">
        <v>271.52</v>
      </c>
      <c r="I15" s="956">
        <v>1000</v>
      </c>
      <c r="J15" s="400" t="s">
        <v>58</v>
      </c>
      <c r="K15" s="401">
        <f t="shared" si="1"/>
        <v>184.14510634379891</v>
      </c>
    </row>
    <row r="16" spans="1:11" s="459" customFormat="1" ht="20.100000000000001" customHeight="1" x14ac:dyDescent="0.25">
      <c r="A16" s="457">
        <v>3716</v>
      </c>
      <c r="B16" s="1235" t="s">
        <v>142</v>
      </c>
      <c r="C16" s="1236"/>
      <c r="D16" s="395">
        <v>1115</v>
      </c>
      <c r="E16" s="387">
        <v>1114.49</v>
      </c>
      <c r="F16" s="458">
        <v>1184</v>
      </c>
      <c r="G16" s="390">
        <v>1293.29</v>
      </c>
      <c r="H16" s="391">
        <v>820.38</v>
      </c>
      <c r="I16" s="956">
        <v>1293</v>
      </c>
      <c r="J16" s="400">
        <f t="shared" si="0"/>
        <v>109.20608108108108</v>
      </c>
      <c r="K16" s="401">
        <f t="shared" si="1"/>
        <v>99.977576568287091</v>
      </c>
    </row>
    <row r="17" spans="1:12" s="459" customFormat="1" ht="20.100000000000001" customHeight="1" x14ac:dyDescent="0.25">
      <c r="A17" s="457">
        <v>3727</v>
      </c>
      <c r="B17" s="1235" t="s">
        <v>143</v>
      </c>
      <c r="C17" s="1236"/>
      <c r="D17" s="395">
        <v>1000</v>
      </c>
      <c r="E17" s="387">
        <v>2401.77</v>
      </c>
      <c r="F17" s="458">
        <v>1000</v>
      </c>
      <c r="G17" s="390">
        <v>4510.43</v>
      </c>
      <c r="H17" s="391">
        <v>1414.16</v>
      </c>
      <c r="I17" s="956">
        <v>2545</v>
      </c>
      <c r="J17" s="400">
        <f t="shared" si="0"/>
        <v>254.5</v>
      </c>
      <c r="K17" s="401">
        <f t="shared" si="1"/>
        <v>56.424775464866983</v>
      </c>
      <c r="L17" s="66"/>
    </row>
    <row r="18" spans="1:12" s="459" customFormat="1" ht="20.100000000000001" customHeight="1" x14ac:dyDescent="0.25">
      <c r="A18" s="457">
        <v>3729</v>
      </c>
      <c r="B18" s="1235" t="s">
        <v>144</v>
      </c>
      <c r="C18" s="1236"/>
      <c r="D18" s="395">
        <v>100</v>
      </c>
      <c r="E18" s="387">
        <v>78.53</v>
      </c>
      <c r="F18" s="458">
        <v>100</v>
      </c>
      <c r="G18" s="390">
        <v>1100</v>
      </c>
      <c r="H18" s="391">
        <v>0</v>
      </c>
      <c r="I18" s="956">
        <v>100</v>
      </c>
      <c r="J18" s="400">
        <f t="shared" si="0"/>
        <v>100</v>
      </c>
      <c r="K18" s="401">
        <f t="shared" si="1"/>
        <v>9.0909090909090917</v>
      </c>
    </row>
    <row r="19" spans="1:12" s="459" customFormat="1" ht="20.100000000000001" customHeight="1" x14ac:dyDescent="0.25">
      <c r="A19" s="457">
        <v>3741</v>
      </c>
      <c r="B19" s="1235" t="s">
        <v>145</v>
      </c>
      <c r="C19" s="1236"/>
      <c r="D19" s="395">
        <v>3484</v>
      </c>
      <c r="E19" s="387">
        <v>3484</v>
      </c>
      <c r="F19" s="458">
        <v>3484</v>
      </c>
      <c r="G19" s="390">
        <v>4370</v>
      </c>
      <c r="H19" s="391">
        <v>2623.71</v>
      </c>
      <c r="I19" s="956">
        <v>3484</v>
      </c>
      <c r="J19" s="400">
        <f t="shared" si="0"/>
        <v>100</v>
      </c>
      <c r="K19" s="401">
        <f t="shared" si="1"/>
        <v>79.725400457665913</v>
      </c>
    </row>
    <row r="20" spans="1:12" s="410" customFormat="1" ht="20.100000000000001" customHeight="1" x14ac:dyDescent="0.25">
      <c r="A20" s="1233">
        <v>3742</v>
      </c>
      <c r="B20" s="1235" t="s">
        <v>111</v>
      </c>
      <c r="C20" s="1236"/>
      <c r="D20" s="417">
        <v>19900</v>
      </c>
      <c r="E20" s="439">
        <v>24737.279999999999</v>
      </c>
      <c r="F20" s="460">
        <v>28600</v>
      </c>
      <c r="G20" s="419">
        <v>29936.38</v>
      </c>
      <c r="H20" s="426">
        <v>3503.34</v>
      </c>
      <c r="I20" s="956">
        <v>32200</v>
      </c>
      <c r="J20" s="400">
        <f t="shared" si="0"/>
        <v>112.58741258741259</v>
      </c>
      <c r="K20" s="401">
        <f t="shared" si="1"/>
        <v>107.56143528375841</v>
      </c>
      <c r="L20" s="66"/>
    </row>
    <row r="21" spans="1:12" ht="15" customHeight="1" x14ac:dyDescent="0.25">
      <c r="A21" s="1234"/>
      <c r="B21" s="370" t="s">
        <v>92</v>
      </c>
      <c r="C21" s="572" t="s">
        <v>135</v>
      </c>
      <c r="D21" s="73">
        <v>200</v>
      </c>
      <c r="E21" s="97">
        <v>6</v>
      </c>
      <c r="F21" s="307">
        <v>200</v>
      </c>
      <c r="G21" s="75">
        <v>0</v>
      </c>
      <c r="H21" s="83">
        <v>0</v>
      </c>
      <c r="I21" s="957">
        <v>200</v>
      </c>
      <c r="J21" s="77">
        <f t="shared" si="0"/>
        <v>100</v>
      </c>
      <c r="K21" s="78" t="s">
        <v>58</v>
      </c>
    </row>
    <row r="22" spans="1:12" ht="28.5" customHeight="1" x14ac:dyDescent="0.25">
      <c r="A22" s="457">
        <v>3743</v>
      </c>
      <c r="B22" s="1235" t="s">
        <v>533</v>
      </c>
      <c r="C22" s="1236"/>
      <c r="D22" s="417">
        <v>0</v>
      </c>
      <c r="E22" s="439">
        <v>0</v>
      </c>
      <c r="F22" s="460">
        <v>0</v>
      </c>
      <c r="G22" s="419">
        <v>7019.59</v>
      </c>
      <c r="H22" s="426">
        <v>0</v>
      </c>
      <c r="I22" s="956">
        <v>0</v>
      </c>
      <c r="J22" s="400" t="s">
        <v>58</v>
      </c>
      <c r="K22" s="401">
        <f t="shared" si="1"/>
        <v>0</v>
      </c>
    </row>
    <row r="23" spans="1:12" s="410" customFormat="1" ht="20.100000000000001" customHeight="1" x14ac:dyDescent="0.25">
      <c r="A23" s="457">
        <v>3769</v>
      </c>
      <c r="B23" s="1235" t="s">
        <v>146</v>
      </c>
      <c r="C23" s="1236"/>
      <c r="D23" s="417">
        <v>400</v>
      </c>
      <c r="E23" s="439">
        <v>0</v>
      </c>
      <c r="F23" s="460">
        <v>400</v>
      </c>
      <c r="G23" s="419">
        <v>988.81</v>
      </c>
      <c r="H23" s="426">
        <v>64.010000000000005</v>
      </c>
      <c r="I23" s="956">
        <v>400</v>
      </c>
      <c r="J23" s="400">
        <f t="shared" si="0"/>
        <v>100</v>
      </c>
      <c r="K23" s="401">
        <f t="shared" si="1"/>
        <v>40.452665324986604</v>
      </c>
    </row>
    <row r="24" spans="1:12" s="410" customFormat="1" ht="20.100000000000001" customHeight="1" x14ac:dyDescent="0.25">
      <c r="A24" s="457">
        <v>3792</v>
      </c>
      <c r="B24" s="1235" t="s">
        <v>147</v>
      </c>
      <c r="C24" s="1236"/>
      <c r="D24" s="417">
        <v>18177</v>
      </c>
      <c r="E24" s="439">
        <v>18179.16</v>
      </c>
      <c r="F24" s="460">
        <v>18177</v>
      </c>
      <c r="G24" s="419">
        <v>16723.18</v>
      </c>
      <c r="H24" s="426">
        <v>14982.87</v>
      </c>
      <c r="I24" s="956">
        <v>18677</v>
      </c>
      <c r="J24" s="400">
        <f t="shared" si="0"/>
        <v>102.75072894316995</v>
      </c>
      <c r="K24" s="401">
        <f t="shared" si="1"/>
        <v>111.6833042519425</v>
      </c>
      <c r="L24" s="66"/>
    </row>
    <row r="25" spans="1:12" s="410" customFormat="1" ht="20.100000000000001" customHeight="1" thickBot="1" x14ac:dyDescent="0.3">
      <c r="A25" s="457">
        <v>3799</v>
      </c>
      <c r="B25" s="1235" t="s">
        <v>148</v>
      </c>
      <c r="C25" s="1236"/>
      <c r="D25" s="417">
        <v>1615</v>
      </c>
      <c r="E25" s="439">
        <v>1228.9000000000001</v>
      </c>
      <c r="F25" s="460">
        <v>1846</v>
      </c>
      <c r="G25" s="419">
        <v>2119.21</v>
      </c>
      <c r="H25" s="426">
        <v>436.66</v>
      </c>
      <c r="I25" s="956">
        <v>1172</v>
      </c>
      <c r="J25" s="400">
        <f t="shared" si="0"/>
        <v>63.48862405200434</v>
      </c>
      <c r="K25" s="401">
        <f t="shared" si="1"/>
        <v>55.303627295076943</v>
      </c>
    </row>
    <row r="26" spans="1:12" s="19" customFormat="1" ht="20.100000000000001" customHeight="1" thickBot="1" x14ac:dyDescent="0.35">
      <c r="A26" s="178"/>
      <c r="B26" s="348" t="s">
        <v>82</v>
      </c>
      <c r="C26" s="569"/>
      <c r="D26" s="169">
        <f t="shared" ref="D26:F26" si="4">SUM(D9:D20)+SUM(D22:D25)</f>
        <v>47471</v>
      </c>
      <c r="E26" s="182">
        <f t="shared" si="4"/>
        <v>53659.619999999995</v>
      </c>
      <c r="F26" s="169">
        <f t="shared" si="4"/>
        <v>56471</v>
      </c>
      <c r="G26" s="171">
        <f>SUM(G9:G20)+SUM(G22:G25)</f>
        <v>91532.48000000001</v>
      </c>
      <c r="H26" s="171">
        <f t="shared" ref="H26" si="5">SUM(H9:H20)+SUM(H22:H25)</f>
        <v>25540.02</v>
      </c>
      <c r="I26" s="959">
        <f t="shared" ref="I26" si="6">SUM(I9:I20)+SUM(I22:I25)</f>
        <v>62971</v>
      </c>
      <c r="J26" s="172">
        <f t="shared" si="0"/>
        <v>111.51033273715711</v>
      </c>
      <c r="K26" s="173">
        <f t="shared" si="1"/>
        <v>68.79634420481122</v>
      </c>
      <c r="L26" s="9"/>
    </row>
    <row r="28" spans="1:12" x14ac:dyDescent="0.25">
      <c r="D28" s="138"/>
      <c r="F28" s="138"/>
      <c r="I28" s="138"/>
      <c r="J28" s="888"/>
    </row>
    <row r="29" spans="1:12" x14ac:dyDescent="0.25">
      <c r="D29" s="138"/>
      <c r="F29" s="138"/>
      <c r="I29" s="138"/>
      <c r="J29" s="138"/>
      <c r="K29" s="138"/>
    </row>
  </sheetData>
  <mergeCells count="25">
    <mergeCell ref="B23:C23"/>
    <mergeCell ref="B24:C24"/>
    <mergeCell ref="B25:C25"/>
    <mergeCell ref="B9:C9"/>
    <mergeCell ref="B12:C12"/>
    <mergeCell ref="B13:C13"/>
    <mergeCell ref="B18:C18"/>
    <mergeCell ref="B19:C19"/>
    <mergeCell ref="B20:C20"/>
    <mergeCell ref="B10:C10"/>
    <mergeCell ref="B15:C15"/>
    <mergeCell ref="B17:C17"/>
    <mergeCell ref="B14:C14"/>
    <mergeCell ref="B16:C16"/>
    <mergeCell ref="B11:C11"/>
    <mergeCell ref="B22:C22"/>
    <mergeCell ref="A20:A21"/>
    <mergeCell ref="A2:K2"/>
    <mergeCell ref="A6:A7"/>
    <mergeCell ref="D6:E6"/>
    <mergeCell ref="F6:H6"/>
    <mergeCell ref="J6:J7"/>
    <mergeCell ref="K6:K7"/>
    <mergeCell ref="B6:C7"/>
    <mergeCell ref="I6:I7"/>
  </mergeCells>
  <printOptions horizontalCentered="1"/>
  <pageMargins left="0.59055118110236227" right="0.59055118110236227" top="0.78740157480314965" bottom="0.78740157480314965" header="0.55118110236220474" footer="0.59055118110236227"/>
  <pageSetup paperSize="9" scale="56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L47"/>
  <sheetViews>
    <sheetView workbookViewId="0">
      <selection activeCell="C1" sqref="C1"/>
    </sheetView>
  </sheetViews>
  <sheetFormatPr defaultColWidth="9.109375" defaultRowHeight="13.8" x14ac:dyDescent="0.3"/>
  <cols>
    <col min="1" max="1" width="7.6640625" style="1" customWidth="1"/>
    <col min="2" max="2" width="6.6640625" style="1" customWidth="1"/>
    <col min="3" max="3" width="40.6640625" style="1" customWidth="1"/>
    <col min="4" max="4" width="14.6640625" style="2" customWidth="1"/>
    <col min="5" max="5" width="14.6640625" style="3" customWidth="1"/>
    <col min="6" max="6" width="14.6640625" style="2" customWidth="1"/>
    <col min="7" max="7" width="16" style="3" customWidth="1"/>
    <col min="8" max="8" width="14.6640625" style="3" customWidth="1"/>
    <col min="9" max="9" width="14.6640625" style="697" customWidth="1"/>
    <col min="10" max="10" width="9.6640625" style="5" customWidth="1"/>
    <col min="11" max="11" width="9.6640625" style="944" customWidth="1"/>
    <col min="12" max="16384" width="9.109375" style="1"/>
  </cols>
  <sheetData>
    <row r="1" spans="1:11" ht="14.4" x14ac:dyDescent="0.3">
      <c r="C1" s="1" t="s">
        <v>574</v>
      </c>
      <c r="K1" s="161"/>
    </row>
    <row r="2" spans="1:11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</row>
    <row r="3" spans="1:11" ht="15" customHeight="1" x14ac:dyDescent="0.3"/>
    <row r="4" spans="1:11" ht="20.100000000000001" customHeight="1" x14ac:dyDescent="0.35">
      <c r="A4" s="7" t="s">
        <v>136</v>
      </c>
      <c r="J4" s="8"/>
    </row>
    <row r="5" spans="1:11" ht="15" customHeight="1" thickBot="1" x14ac:dyDescent="0.4">
      <c r="A5" s="7"/>
      <c r="K5" s="1046" t="s">
        <v>0</v>
      </c>
    </row>
    <row r="6" spans="1:11" s="62" customFormat="1" ht="15.75" customHeight="1" x14ac:dyDescent="0.2">
      <c r="A6" s="1159" t="s">
        <v>85</v>
      </c>
      <c r="B6" s="1165" t="s">
        <v>97</v>
      </c>
      <c r="C6" s="1166"/>
      <c r="D6" s="1060" t="s">
        <v>402</v>
      </c>
      <c r="E6" s="1061"/>
      <c r="F6" s="1060" t="s">
        <v>450</v>
      </c>
      <c r="G6" s="1064"/>
      <c r="H6" s="1061"/>
      <c r="I6" s="1169" t="s">
        <v>507</v>
      </c>
      <c r="J6" s="1161" t="s">
        <v>508</v>
      </c>
      <c r="K6" s="1241" t="s">
        <v>509</v>
      </c>
    </row>
    <row r="7" spans="1:11" s="62" customFormat="1" ht="30.9" customHeight="1" thickBot="1" x14ac:dyDescent="0.25">
      <c r="A7" s="1160"/>
      <c r="B7" s="1167"/>
      <c r="C7" s="1168"/>
      <c r="D7" s="236" t="s">
        <v>103</v>
      </c>
      <c r="E7" s="835" t="s">
        <v>520</v>
      </c>
      <c r="F7" s="236" t="s">
        <v>103</v>
      </c>
      <c r="G7" s="237" t="s">
        <v>556</v>
      </c>
      <c r="H7" s="238" t="s">
        <v>555</v>
      </c>
      <c r="I7" s="1170"/>
      <c r="J7" s="1162"/>
      <c r="K7" s="1242"/>
    </row>
    <row r="8" spans="1:11" s="9" customFormat="1" ht="20.100000000000001" customHeight="1" thickBot="1" x14ac:dyDescent="0.35">
      <c r="B8" s="10" t="s">
        <v>98</v>
      </c>
      <c r="C8" s="10"/>
      <c r="D8" s="11"/>
      <c r="E8" s="12"/>
      <c r="F8" s="11"/>
      <c r="G8" s="13"/>
      <c r="H8" s="13"/>
      <c r="I8" s="239"/>
      <c r="J8" s="16"/>
      <c r="K8" s="1047"/>
    </row>
    <row r="9" spans="1:11" s="447" customFormat="1" ht="20.100000000000001" customHeight="1" x14ac:dyDescent="0.3">
      <c r="A9" s="1179">
        <v>3612</v>
      </c>
      <c r="B9" s="1175" t="s">
        <v>137</v>
      </c>
      <c r="C9" s="1176"/>
      <c r="D9" s="436">
        <f t="shared" ref="D9:I9" si="0">SUM(D10:D14)</f>
        <v>1823</v>
      </c>
      <c r="E9" s="431">
        <f t="shared" si="0"/>
        <v>4229.68</v>
      </c>
      <c r="F9" s="436">
        <f t="shared" si="0"/>
        <v>1790</v>
      </c>
      <c r="G9" s="380">
        <f t="shared" si="0"/>
        <v>5381.96</v>
      </c>
      <c r="H9" s="496">
        <f t="shared" si="0"/>
        <v>1701.52</v>
      </c>
      <c r="I9" s="955">
        <f t="shared" si="0"/>
        <v>2350</v>
      </c>
      <c r="J9" s="416">
        <f t="shared" ref="J9:J17" si="1">I9/F9*100</f>
        <v>131.28491620111731</v>
      </c>
      <c r="K9" s="1048">
        <f t="shared" ref="K9:K22" si="2">I9/G9*100</f>
        <v>43.664389924860089</v>
      </c>
    </row>
    <row r="10" spans="1:11" s="447" customFormat="1" ht="24.9" customHeight="1" x14ac:dyDescent="0.3">
      <c r="A10" s="1154"/>
      <c r="B10" s="1171" t="s">
        <v>92</v>
      </c>
      <c r="C10" s="565" t="s">
        <v>420</v>
      </c>
      <c r="D10" s="93">
        <v>0</v>
      </c>
      <c r="E10" s="92">
        <v>39.31</v>
      </c>
      <c r="F10" s="93">
        <v>0</v>
      </c>
      <c r="G10" s="80">
        <v>10.01</v>
      </c>
      <c r="H10" s="94">
        <v>7.7</v>
      </c>
      <c r="I10" s="957">
        <v>0</v>
      </c>
      <c r="J10" s="91" t="s">
        <v>58</v>
      </c>
      <c r="K10" s="1049">
        <f t="shared" si="2"/>
        <v>0</v>
      </c>
    </row>
    <row r="11" spans="1:11" s="447" customFormat="1" ht="15" customHeight="1" x14ac:dyDescent="0.3">
      <c r="A11" s="1154"/>
      <c r="B11" s="1172"/>
      <c r="C11" s="570" t="s">
        <v>414</v>
      </c>
      <c r="D11" s="93">
        <v>53</v>
      </c>
      <c r="E11" s="92">
        <v>1.48</v>
      </c>
      <c r="F11" s="93">
        <v>20</v>
      </c>
      <c r="G11" s="80">
        <v>20</v>
      </c>
      <c r="H11" s="94">
        <v>4.75</v>
      </c>
      <c r="I11" s="957">
        <v>10</v>
      </c>
      <c r="J11" s="91">
        <f t="shared" si="1"/>
        <v>50</v>
      </c>
      <c r="K11" s="1049">
        <f t="shared" si="2"/>
        <v>50</v>
      </c>
    </row>
    <row r="12" spans="1:11" s="447" customFormat="1" ht="15" customHeight="1" x14ac:dyDescent="0.3">
      <c r="A12" s="1154"/>
      <c r="B12" s="1172"/>
      <c r="C12" s="570" t="s">
        <v>415</v>
      </c>
      <c r="D12" s="93">
        <v>800</v>
      </c>
      <c r="E12" s="92">
        <v>793.17</v>
      </c>
      <c r="F12" s="93">
        <v>800</v>
      </c>
      <c r="G12" s="80">
        <v>1530</v>
      </c>
      <c r="H12" s="94">
        <v>545.1</v>
      </c>
      <c r="I12" s="957">
        <v>830</v>
      </c>
      <c r="J12" s="91">
        <f t="shared" si="1"/>
        <v>103.75000000000001</v>
      </c>
      <c r="K12" s="1049">
        <f t="shared" si="2"/>
        <v>54.248366013071895</v>
      </c>
    </row>
    <row r="13" spans="1:11" s="447" customFormat="1" ht="15" customHeight="1" x14ac:dyDescent="0.3">
      <c r="A13" s="1154"/>
      <c r="B13" s="1172"/>
      <c r="C13" s="570" t="s">
        <v>416</v>
      </c>
      <c r="D13" s="93">
        <v>400</v>
      </c>
      <c r="E13" s="92">
        <v>413.82</v>
      </c>
      <c r="F13" s="93">
        <v>400</v>
      </c>
      <c r="G13" s="80">
        <v>1600.5</v>
      </c>
      <c r="H13" s="94">
        <v>207.41</v>
      </c>
      <c r="I13" s="957">
        <v>350</v>
      </c>
      <c r="J13" s="91">
        <f t="shared" si="1"/>
        <v>87.5</v>
      </c>
      <c r="K13" s="1049">
        <f t="shared" si="2"/>
        <v>21.868166198063104</v>
      </c>
    </row>
    <row r="14" spans="1:11" s="447" customFormat="1" ht="15" customHeight="1" x14ac:dyDescent="0.3">
      <c r="A14" s="1154"/>
      <c r="B14" s="1172"/>
      <c r="C14" s="570" t="s">
        <v>417</v>
      </c>
      <c r="D14" s="93">
        <v>570</v>
      </c>
      <c r="E14" s="92">
        <v>2981.9</v>
      </c>
      <c r="F14" s="93">
        <v>570</v>
      </c>
      <c r="G14" s="80">
        <v>2221.4499999999998</v>
      </c>
      <c r="H14" s="94">
        <v>936.56</v>
      </c>
      <c r="I14" s="957">
        <v>1160</v>
      </c>
      <c r="J14" s="91">
        <f t="shared" si="1"/>
        <v>203.50877192982458</v>
      </c>
      <c r="K14" s="1049">
        <f t="shared" si="2"/>
        <v>52.218145805667469</v>
      </c>
    </row>
    <row r="15" spans="1:11" s="63" customFormat="1" ht="15" customHeight="1" x14ac:dyDescent="0.3">
      <c r="A15" s="1154"/>
      <c r="B15" s="1180" t="s">
        <v>92</v>
      </c>
      <c r="C15" s="565" t="s">
        <v>138</v>
      </c>
      <c r="D15" s="93">
        <v>570</v>
      </c>
      <c r="E15" s="92">
        <v>2981.9</v>
      </c>
      <c r="F15" s="93">
        <v>570</v>
      </c>
      <c r="G15" s="80">
        <v>2221.4499999999998</v>
      </c>
      <c r="H15" s="94">
        <v>936.56</v>
      </c>
      <c r="I15" s="957">
        <v>1160</v>
      </c>
      <c r="J15" s="91">
        <f t="shared" si="1"/>
        <v>203.50877192982458</v>
      </c>
      <c r="K15" s="1049">
        <f t="shared" si="2"/>
        <v>52.218145805667469</v>
      </c>
    </row>
    <row r="16" spans="1:11" s="63" customFormat="1" ht="15" customHeight="1" x14ac:dyDescent="0.3">
      <c r="A16" s="1174"/>
      <c r="B16" s="1181"/>
      <c r="C16" s="705" t="s">
        <v>380</v>
      </c>
      <c r="D16" s="82">
        <v>660</v>
      </c>
      <c r="E16" s="81">
        <v>683.64</v>
      </c>
      <c r="F16" s="82">
        <v>660</v>
      </c>
      <c r="G16" s="356">
        <v>1190</v>
      </c>
      <c r="H16" s="94">
        <v>453.06</v>
      </c>
      <c r="I16" s="957">
        <v>710</v>
      </c>
      <c r="J16" s="91">
        <f t="shared" si="1"/>
        <v>107.57575757575756</v>
      </c>
      <c r="K16" s="1049">
        <f t="shared" si="2"/>
        <v>59.663865546218489</v>
      </c>
    </row>
    <row r="17" spans="1:12" s="447" customFormat="1" ht="20.100000000000001" customHeight="1" x14ac:dyDescent="0.3">
      <c r="A17" s="1153">
        <v>3613</v>
      </c>
      <c r="B17" s="1248" t="s">
        <v>139</v>
      </c>
      <c r="C17" s="1178"/>
      <c r="D17" s="438">
        <f t="shared" ref="D17:H17" si="3">SUM(D18:D25)</f>
        <v>13517</v>
      </c>
      <c r="E17" s="413">
        <f t="shared" si="3"/>
        <v>30477.55</v>
      </c>
      <c r="F17" s="438">
        <f t="shared" si="3"/>
        <v>13550</v>
      </c>
      <c r="G17" s="398">
        <f>SUM(G18:G25)</f>
        <v>29194.42</v>
      </c>
      <c r="H17" s="453">
        <f t="shared" si="3"/>
        <v>9469.32</v>
      </c>
      <c r="I17" s="956">
        <f>SUM(I18:I25)</f>
        <v>12920</v>
      </c>
      <c r="J17" s="427">
        <f t="shared" si="1"/>
        <v>95.350553505535046</v>
      </c>
      <c r="K17" s="1050">
        <f t="shared" si="2"/>
        <v>44.255032297267768</v>
      </c>
    </row>
    <row r="18" spans="1:12" s="447" customFormat="1" ht="24.9" customHeight="1" x14ac:dyDescent="0.3">
      <c r="A18" s="1154"/>
      <c r="B18" s="1245" t="s">
        <v>92</v>
      </c>
      <c r="C18" s="565" t="s">
        <v>420</v>
      </c>
      <c r="D18" s="93">
        <v>0</v>
      </c>
      <c r="E18" s="92">
        <v>39.770000000000003</v>
      </c>
      <c r="F18" s="93">
        <v>0</v>
      </c>
      <c r="G18" s="80">
        <v>0</v>
      </c>
      <c r="H18" s="94">
        <v>0</v>
      </c>
      <c r="I18" s="957">
        <v>0</v>
      </c>
      <c r="J18" s="91" t="s">
        <v>58</v>
      </c>
      <c r="K18" s="1049" t="s">
        <v>58</v>
      </c>
    </row>
    <row r="19" spans="1:12" s="447" customFormat="1" ht="15" customHeight="1" x14ac:dyDescent="0.3">
      <c r="A19" s="1154"/>
      <c r="B19" s="1246"/>
      <c r="C19" s="570" t="s">
        <v>414</v>
      </c>
      <c r="D19" s="93">
        <v>26</v>
      </c>
      <c r="E19" s="92">
        <v>477.19</v>
      </c>
      <c r="F19" s="93">
        <v>26</v>
      </c>
      <c r="G19" s="80">
        <v>126</v>
      </c>
      <c r="H19" s="94">
        <v>6.49</v>
      </c>
      <c r="I19" s="957">
        <v>15</v>
      </c>
      <c r="J19" s="91">
        <f>I19/F19*100</f>
        <v>57.692307692307686</v>
      </c>
      <c r="K19" s="1049">
        <f t="shared" si="2"/>
        <v>11.904761904761903</v>
      </c>
    </row>
    <row r="20" spans="1:12" s="447" customFormat="1" ht="15" customHeight="1" x14ac:dyDescent="0.3">
      <c r="A20" s="1154"/>
      <c r="B20" s="1246"/>
      <c r="C20" s="570" t="s">
        <v>415</v>
      </c>
      <c r="D20" s="93">
        <v>9280</v>
      </c>
      <c r="E20" s="92">
        <v>9873.92</v>
      </c>
      <c r="F20" s="93">
        <v>9280</v>
      </c>
      <c r="G20" s="80">
        <v>10622.65</v>
      </c>
      <c r="H20" s="94">
        <v>4863.8500000000004</v>
      </c>
      <c r="I20" s="957">
        <v>7230</v>
      </c>
      <c r="J20" s="91">
        <f>I20/F20*100</f>
        <v>77.909482758620683</v>
      </c>
      <c r="K20" s="1049">
        <f t="shared" si="2"/>
        <v>68.062112561366519</v>
      </c>
    </row>
    <row r="21" spans="1:12" s="447" customFormat="1" ht="15" customHeight="1" x14ac:dyDescent="0.3">
      <c r="A21" s="1154"/>
      <c r="B21" s="1246"/>
      <c r="C21" s="570" t="s">
        <v>416</v>
      </c>
      <c r="D21" s="93">
        <v>3011</v>
      </c>
      <c r="E21" s="92">
        <v>7011.49</v>
      </c>
      <c r="F21" s="93">
        <v>3011</v>
      </c>
      <c r="G21" s="80">
        <v>10653.26</v>
      </c>
      <c r="H21" s="94">
        <v>2982.14</v>
      </c>
      <c r="I21" s="957">
        <v>3290</v>
      </c>
      <c r="J21" s="91">
        <f>I21/F21*100</f>
        <v>109.26602457655264</v>
      </c>
      <c r="K21" s="1049">
        <f t="shared" si="2"/>
        <v>30.882565524543658</v>
      </c>
      <c r="L21" s="1"/>
    </row>
    <row r="22" spans="1:12" s="447" customFormat="1" ht="15" customHeight="1" x14ac:dyDescent="0.3">
      <c r="A22" s="1154"/>
      <c r="B22" s="1246"/>
      <c r="C22" s="570" t="s">
        <v>417</v>
      </c>
      <c r="D22" s="93">
        <v>1200</v>
      </c>
      <c r="E22" s="92">
        <v>12074.9</v>
      </c>
      <c r="F22" s="93">
        <v>1233</v>
      </c>
      <c r="G22" s="80">
        <v>7789.01</v>
      </c>
      <c r="H22" s="94">
        <v>1613.39</v>
      </c>
      <c r="I22" s="957">
        <v>2380</v>
      </c>
      <c r="J22" s="91">
        <f>I22/F22*100</f>
        <v>193.02514193025141</v>
      </c>
      <c r="K22" s="1049">
        <f t="shared" si="2"/>
        <v>30.555872954329239</v>
      </c>
    </row>
    <row r="23" spans="1:12" s="447" customFormat="1" ht="27" customHeight="1" x14ac:dyDescent="0.3">
      <c r="A23" s="1154"/>
      <c r="B23" s="1246"/>
      <c r="C23" s="565" t="s">
        <v>291</v>
      </c>
      <c r="D23" s="93">
        <v>0</v>
      </c>
      <c r="E23" s="92">
        <v>197.51</v>
      </c>
      <c r="F23" s="93">
        <v>0</v>
      </c>
      <c r="G23" s="80">
        <v>0</v>
      </c>
      <c r="H23" s="94">
        <v>0</v>
      </c>
      <c r="I23" s="957">
        <v>0</v>
      </c>
      <c r="J23" s="91" t="s">
        <v>58</v>
      </c>
      <c r="K23" s="1049" t="s">
        <v>58</v>
      </c>
    </row>
    <row r="24" spans="1:12" s="447" customFormat="1" ht="27" customHeight="1" x14ac:dyDescent="0.3">
      <c r="A24" s="1154"/>
      <c r="B24" s="1246"/>
      <c r="C24" s="565" t="s">
        <v>243</v>
      </c>
      <c r="D24" s="73">
        <v>0</v>
      </c>
      <c r="E24" s="97">
        <v>0.01</v>
      </c>
      <c r="F24" s="73">
        <v>0</v>
      </c>
      <c r="G24" s="757">
        <v>0</v>
      </c>
      <c r="H24" s="74">
        <v>0</v>
      </c>
      <c r="I24" s="957">
        <v>0</v>
      </c>
      <c r="J24" s="91" t="s">
        <v>58</v>
      </c>
      <c r="K24" s="1049" t="s">
        <v>58</v>
      </c>
    </row>
    <row r="25" spans="1:12" s="447" customFormat="1" ht="15" customHeight="1" x14ac:dyDescent="0.3">
      <c r="A25" s="1154"/>
      <c r="B25" s="1247"/>
      <c r="C25" s="570" t="s">
        <v>228</v>
      </c>
      <c r="D25" s="93">
        <v>0</v>
      </c>
      <c r="E25" s="92">
        <v>802.76</v>
      </c>
      <c r="F25" s="93">
        <v>0</v>
      </c>
      <c r="G25" s="80">
        <v>3.5</v>
      </c>
      <c r="H25" s="94">
        <v>3.45</v>
      </c>
      <c r="I25" s="957">
        <v>5</v>
      </c>
      <c r="J25" s="91" t="s">
        <v>58</v>
      </c>
      <c r="K25" s="1049">
        <f t="shared" ref="K25:K31" si="4">I25/G25*100</f>
        <v>142.85714285714286</v>
      </c>
    </row>
    <row r="26" spans="1:12" ht="15" customHeight="1" x14ac:dyDescent="0.3">
      <c r="A26" s="1154"/>
      <c r="B26" s="1243" t="s">
        <v>92</v>
      </c>
      <c r="C26" s="565" t="s">
        <v>138</v>
      </c>
      <c r="D26" s="93">
        <v>1200</v>
      </c>
      <c r="E26" s="92">
        <v>12074.9</v>
      </c>
      <c r="F26" s="93">
        <v>1233</v>
      </c>
      <c r="G26" s="80">
        <v>7731.66</v>
      </c>
      <c r="H26" s="94">
        <v>1613.39</v>
      </c>
      <c r="I26" s="957">
        <v>2380</v>
      </c>
      <c r="J26" s="91">
        <f>I26/F26*100</f>
        <v>193.02514193025141</v>
      </c>
      <c r="K26" s="1049">
        <f t="shared" si="4"/>
        <v>30.782522770013166</v>
      </c>
    </row>
    <row r="27" spans="1:12" ht="15" customHeight="1" x14ac:dyDescent="0.3">
      <c r="A27" s="1174"/>
      <c r="B27" s="1244"/>
      <c r="C27" s="705" t="s">
        <v>380</v>
      </c>
      <c r="D27" s="82">
        <v>8280</v>
      </c>
      <c r="E27" s="81">
        <v>8431.08</v>
      </c>
      <c r="F27" s="82">
        <v>8280</v>
      </c>
      <c r="G27" s="356">
        <v>9122.65</v>
      </c>
      <c r="H27" s="94">
        <v>4015.57</v>
      </c>
      <c r="I27" s="957">
        <v>6100</v>
      </c>
      <c r="J27" s="91">
        <f>I27/F27*100</f>
        <v>73.671497584541072</v>
      </c>
      <c r="K27" s="1049">
        <f t="shared" si="4"/>
        <v>66.866535491332016</v>
      </c>
    </row>
    <row r="28" spans="1:12" s="410" customFormat="1" ht="20.100000000000001" customHeight="1" x14ac:dyDescent="0.25">
      <c r="A28" s="1233">
        <v>3636</v>
      </c>
      <c r="B28" s="1235" t="s">
        <v>110</v>
      </c>
      <c r="C28" s="1236"/>
      <c r="D28" s="450">
        <f>+D29</f>
        <v>0</v>
      </c>
      <c r="E28" s="488">
        <f>+E29</f>
        <v>116.16</v>
      </c>
      <c r="F28" s="450">
        <f t="shared" ref="F28:I28" si="5">+F29</f>
        <v>0</v>
      </c>
      <c r="G28" s="452">
        <v>108.3</v>
      </c>
      <c r="H28" s="488">
        <v>59.29</v>
      </c>
      <c r="I28" s="956">
        <f t="shared" si="5"/>
        <v>1870</v>
      </c>
      <c r="J28" s="400" t="s">
        <v>58</v>
      </c>
      <c r="K28" s="1051">
        <f t="shared" si="4"/>
        <v>1726.68513388735</v>
      </c>
    </row>
    <row r="29" spans="1:12" s="410" customFormat="1" ht="20.100000000000001" customHeight="1" x14ac:dyDescent="0.25">
      <c r="A29" s="1234"/>
      <c r="B29" s="948" t="s">
        <v>92</v>
      </c>
      <c r="C29" s="570" t="s">
        <v>416</v>
      </c>
      <c r="D29" s="82">
        <v>0</v>
      </c>
      <c r="E29" s="81">
        <v>116.16</v>
      </c>
      <c r="F29" s="82">
        <v>0</v>
      </c>
      <c r="G29" s="356">
        <v>108.3</v>
      </c>
      <c r="H29" s="94">
        <v>59.29</v>
      </c>
      <c r="I29" s="957">
        <v>1870</v>
      </c>
      <c r="J29" s="91" t="s">
        <v>58</v>
      </c>
      <c r="K29" s="1049">
        <f t="shared" si="4"/>
        <v>1726.68513388735</v>
      </c>
    </row>
    <row r="30" spans="1:12" s="447" customFormat="1" ht="20.100000000000001" customHeight="1" x14ac:dyDescent="0.3">
      <c r="A30" s="1153">
        <v>6172</v>
      </c>
      <c r="B30" s="1147" t="s">
        <v>99</v>
      </c>
      <c r="C30" s="1148"/>
      <c r="D30" s="450">
        <f t="shared" ref="D30:H30" si="6">SUM(D31:D35)</f>
        <v>5000</v>
      </c>
      <c r="E30" s="488">
        <f t="shared" si="6"/>
        <v>8968.3799999999992</v>
      </c>
      <c r="F30" s="450">
        <f t="shared" si="6"/>
        <v>9000</v>
      </c>
      <c r="G30" s="452">
        <f t="shared" si="6"/>
        <v>41219.370000000003</v>
      </c>
      <c r="H30" s="488">
        <f t="shared" si="6"/>
        <v>5667.35</v>
      </c>
      <c r="I30" s="956">
        <f>SUM(I31:I35)</f>
        <v>13602</v>
      </c>
      <c r="J30" s="400">
        <f>I30/F30*100</f>
        <v>151.13333333333335</v>
      </c>
      <c r="K30" s="1051">
        <f t="shared" si="4"/>
        <v>32.999048748197751</v>
      </c>
    </row>
    <row r="31" spans="1:12" s="447" customFormat="1" ht="15" customHeight="1" x14ac:dyDescent="0.3">
      <c r="A31" s="1154"/>
      <c r="B31" s="1171" t="s">
        <v>92</v>
      </c>
      <c r="C31" s="570" t="s">
        <v>416</v>
      </c>
      <c r="D31" s="93">
        <v>0</v>
      </c>
      <c r="E31" s="92">
        <v>2</v>
      </c>
      <c r="F31" s="93">
        <v>0</v>
      </c>
      <c r="G31" s="356">
        <v>25929.87</v>
      </c>
      <c r="H31" s="94">
        <v>81.430000000000007</v>
      </c>
      <c r="I31" s="957">
        <v>0</v>
      </c>
      <c r="J31" s="91" t="s">
        <v>58</v>
      </c>
      <c r="K31" s="1049">
        <f t="shared" si="4"/>
        <v>0</v>
      </c>
    </row>
    <row r="32" spans="1:12" s="447" customFormat="1" ht="27.75" customHeight="1" x14ac:dyDescent="0.3">
      <c r="A32" s="1154"/>
      <c r="B32" s="1172"/>
      <c r="C32" s="565" t="s">
        <v>291</v>
      </c>
      <c r="D32" s="90">
        <v>0</v>
      </c>
      <c r="E32" s="74">
        <v>0</v>
      </c>
      <c r="F32" s="90">
        <v>0</v>
      </c>
      <c r="G32" s="75">
        <v>0</v>
      </c>
      <c r="H32" s="125">
        <v>0</v>
      </c>
      <c r="I32" s="957">
        <v>0</v>
      </c>
      <c r="J32" s="91" t="s">
        <v>58</v>
      </c>
      <c r="K32" s="1049" t="s">
        <v>58</v>
      </c>
    </row>
    <row r="33" spans="1:12" s="447" customFormat="1" ht="26.4" customHeight="1" x14ac:dyDescent="0.3">
      <c r="A33" s="1154"/>
      <c r="B33" s="1172"/>
      <c r="C33" s="565" t="s">
        <v>523</v>
      </c>
      <c r="D33" s="90">
        <v>0</v>
      </c>
      <c r="E33" s="74">
        <v>0</v>
      </c>
      <c r="F33" s="90">
        <v>0</v>
      </c>
      <c r="G33" s="75">
        <v>5000</v>
      </c>
      <c r="H33" s="125">
        <v>0</v>
      </c>
      <c r="I33" s="980">
        <v>2500</v>
      </c>
      <c r="J33" s="91" t="s">
        <v>58</v>
      </c>
      <c r="K33" s="1049">
        <f t="shared" ref="K33:K34" si="7">I33/G33*100</f>
        <v>50</v>
      </c>
      <c r="L33" s="1"/>
    </row>
    <row r="34" spans="1:12" s="447" customFormat="1" ht="27.75" customHeight="1" x14ac:dyDescent="0.3">
      <c r="A34" s="1154"/>
      <c r="B34" s="1172"/>
      <c r="C34" s="565" t="s">
        <v>243</v>
      </c>
      <c r="D34" s="79">
        <v>5000</v>
      </c>
      <c r="E34" s="92">
        <v>8966.3799999999992</v>
      </c>
      <c r="F34" s="938">
        <v>9000</v>
      </c>
      <c r="G34" s="75">
        <v>10210.950000000001</v>
      </c>
      <c r="H34" s="125">
        <v>5511.87</v>
      </c>
      <c r="I34" s="980">
        <v>11102</v>
      </c>
      <c r="J34" s="91">
        <f t="shared" ref="J34" si="8">I34/F34*100</f>
        <v>123.35555555555555</v>
      </c>
      <c r="K34" s="1049">
        <f t="shared" si="7"/>
        <v>108.72641624922264</v>
      </c>
      <c r="L34" s="1"/>
    </row>
    <row r="35" spans="1:12" s="447" customFormat="1" ht="15" customHeight="1" thickBot="1" x14ac:dyDescent="0.35">
      <c r="A35" s="1239"/>
      <c r="B35" s="1240"/>
      <c r="C35" s="565" t="s">
        <v>524</v>
      </c>
      <c r="D35" s="935">
        <v>0</v>
      </c>
      <c r="E35" s="936">
        <v>0</v>
      </c>
      <c r="F35" s="937">
        <v>0</v>
      </c>
      <c r="G35" s="692">
        <v>78.55</v>
      </c>
      <c r="H35" s="693">
        <v>74.05</v>
      </c>
      <c r="I35" s="981">
        <v>0</v>
      </c>
      <c r="J35" s="91" t="s">
        <v>58</v>
      </c>
      <c r="K35" s="1049">
        <f>I35/G35*100</f>
        <v>0</v>
      </c>
    </row>
    <row r="36" spans="1:12" s="19" customFormat="1" ht="20.100000000000001" customHeight="1" thickBot="1" x14ac:dyDescent="0.35">
      <c r="A36" s="178"/>
      <c r="B36" s="348" t="s">
        <v>82</v>
      </c>
      <c r="C36" s="569"/>
      <c r="D36" s="169">
        <f>+D9+D17+D30</f>
        <v>20340</v>
      </c>
      <c r="E36" s="170">
        <f>+E9+E17+E30+E28</f>
        <v>43791.77</v>
      </c>
      <c r="F36" s="169">
        <f>+F9+F17+F30</f>
        <v>24340</v>
      </c>
      <c r="G36" s="171">
        <f>+G9+G17+G28+G30</f>
        <v>75904.05</v>
      </c>
      <c r="H36" s="170">
        <f>+H9+H17+H28+H30</f>
        <v>16897.480000000003</v>
      </c>
      <c r="I36" s="959">
        <f>+I9+I17+I28+I30</f>
        <v>30742</v>
      </c>
      <c r="J36" s="180">
        <f>I36/F36*100</f>
        <v>126.30238290879213</v>
      </c>
      <c r="K36" s="1052">
        <f>I36/G36*100</f>
        <v>40.50113268000851</v>
      </c>
      <c r="L36" s="9"/>
    </row>
    <row r="37" spans="1:12" ht="15" customHeight="1" x14ac:dyDescent="0.3">
      <c r="A37" s="20"/>
      <c r="B37" s="20"/>
      <c r="C37" s="20"/>
      <c r="D37" s="159"/>
      <c r="E37" s="158"/>
      <c r="F37" s="159"/>
      <c r="I37" s="23"/>
      <c r="J37" s="24"/>
      <c r="K37" s="1053"/>
    </row>
    <row r="38" spans="1:12" x14ac:dyDescent="0.3">
      <c r="D38" s="3"/>
      <c r="F38" s="3"/>
      <c r="I38" s="3"/>
      <c r="J38" s="888"/>
    </row>
    <row r="39" spans="1:12" x14ac:dyDescent="0.3">
      <c r="D39" s="3"/>
      <c r="F39" s="3"/>
      <c r="I39" s="3"/>
      <c r="J39" s="892"/>
    </row>
    <row r="41" spans="1:12" x14ac:dyDescent="0.3">
      <c r="B41"/>
    </row>
    <row r="42" spans="1:12" ht="15.6" x14ac:dyDescent="0.3">
      <c r="A42" s="846"/>
      <c r="B42"/>
    </row>
    <row r="43" spans="1:12" ht="15.6" x14ac:dyDescent="0.3">
      <c r="A43" s="846"/>
      <c r="B43"/>
    </row>
    <row r="44" spans="1:12" ht="15.6" x14ac:dyDescent="0.3">
      <c r="A44" s="846"/>
      <c r="B44"/>
    </row>
    <row r="45" spans="1:12" ht="15.6" x14ac:dyDescent="0.3">
      <c r="A45" s="846"/>
      <c r="B45"/>
    </row>
    <row r="46" spans="1:12" ht="15.6" x14ac:dyDescent="0.3">
      <c r="A46" s="847"/>
      <c r="B46"/>
    </row>
    <row r="47" spans="1:12" ht="15.6" x14ac:dyDescent="0.3">
      <c r="A47" s="846"/>
      <c r="B47"/>
    </row>
  </sheetData>
  <mergeCells count="21">
    <mergeCell ref="B10:B14"/>
    <mergeCell ref="B18:B25"/>
    <mergeCell ref="B28:C28"/>
    <mergeCell ref="B30:C30"/>
    <mergeCell ref="B17:C17"/>
    <mergeCell ref="A30:A35"/>
    <mergeCell ref="B31:B35"/>
    <mergeCell ref="B9:C9"/>
    <mergeCell ref="A28:A29"/>
    <mergeCell ref="A2:K2"/>
    <mergeCell ref="A6:A7"/>
    <mergeCell ref="D6:E6"/>
    <mergeCell ref="F6:H6"/>
    <mergeCell ref="J6:J7"/>
    <mergeCell ref="K6:K7"/>
    <mergeCell ref="B6:C7"/>
    <mergeCell ref="I6:I7"/>
    <mergeCell ref="A9:A16"/>
    <mergeCell ref="A17:A27"/>
    <mergeCell ref="B15:B16"/>
    <mergeCell ref="B26:B27"/>
  </mergeCells>
  <phoneticPr fontId="9" type="noConversion"/>
  <printOptions horizontalCentered="1"/>
  <pageMargins left="0.59055118110236227" right="0.59055118110236227" top="0.78740157480314965" bottom="0.78740157480314965" header="0.59055118110236227" footer="0.59055118110236227"/>
  <pageSetup paperSize="9" scale="56" fitToHeight="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J22"/>
  <sheetViews>
    <sheetView workbookViewId="0">
      <selection activeCell="B1" sqref="B1"/>
    </sheetView>
  </sheetViews>
  <sheetFormatPr defaultColWidth="9.109375" defaultRowHeight="13.8" x14ac:dyDescent="0.3"/>
  <cols>
    <col min="1" max="1" width="7.6640625" style="1" customWidth="1"/>
    <col min="2" max="2" width="46.6640625" style="1" customWidth="1"/>
    <col min="3" max="3" width="14.6640625" style="2" customWidth="1"/>
    <col min="4" max="4" width="14.6640625" style="3" customWidth="1"/>
    <col min="5" max="5" width="14.6640625" style="2" customWidth="1"/>
    <col min="6" max="6" width="16.109375" style="3" customWidth="1"/>
    <col min="7" max="7" width="14.6640625" style="3" customWidth="1"/>
    <col min="8" max="8" width="14.6640625" style="697" customWidth="1"/>
    <col min="9" max="10" width="9.6640625" style="5" customWidth="1"/>
    <col min="11" max="16384" width="9.109375" style="1"/>
  </cols>
  <sheetData>
    <row r="1" spans="1:10" ht="15" customHeight="1" x14ac:dyDescent="0.3">
      <c r="B1" s="1" t="s">
        <v>574</v>
      </c>
    </row>
    <row r="2" spans="1:10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</row>
    <row r="3" spans="1:10" ht="15" customHeight="1" x14ac:dyDescent="0.3"/>
    <row r="4" spans="1:10" ht="20.100000000000001" customHeight="1" x14ac:dyDescent="0.35">
      <c r="A4" s="7" t="s">
        <v>177</v>
      </c>
      <c r="I4" s="8"/>
    </row>
    <row r="5" spans="1:10" ht="15" customHeight="1" thickBot="1" x14ac:dyDescent="0.4">
      <c r="A5" s="7"/>
      <c r="J5" s="8" t="s">
        <v>0</v>
      </c>
    </row>
    <row r="6" spans="1:10" s="62" customFormat="1" ht="15.9" customHeight="1" x14ac:dyDescent="0.2">
      <c r="A6" s="1159" t="s">
        <v>85</v>
      </c>
      <c r="B6" s="1166" t="s">
        <v>97</v>
      </c>
      <c r="C6" s="1060" t="s">
        <v>402</v>
      </c>
      <c r="D6" s="1061"/>
      <c r="E6" s="1060" t="s">
        <v>450</v>
      </c>
      <c r="F6" s="1064"/>
      <c r="G6" s="1061"/>
      <c r="H6" s="1169" t="s">
        <v>507</v>
      </c>
      <c r="I6" s="1161" t="s">
        <v>508</v>
      </c>
      <c r="J6" s="1163" t="s">
        <v>509</v>
      </c>
    </row>
    <row r="7" spans="1:10" s="62" customFormat="1" ht="30.9" customHeight="1" thickBot="1" x14ac:dyDescent="0.25">
      <c r="A7" s="1160"/>
      <c r="B7" s="1168"/>
      <c r="C7" s="236" t="s">
        <v>103</v>
      </c>
      <c r="D7" s="835" t="s">
        <v>520</v>
      </c>
      <c r="E7" s="236" t="s">
        <v>103</v>
      </c>
      <c r="F7" s="237" t="s">
        <v>556</v>
      </c>
      <c r="G7" s="238" t="s">
        <v>555</v>
      </c>
      <c r="H7" s="1170"/>
      <c r="I7" s="1162"/>
      <c r="J7" s="1164"/>
    </row>
    <row r="8" spans="1:10" s="9" customFormat="1" ht="20.100000000000001" customHeight="1" thickBot="1" x14ac:dyDescent="0.35">
      <c r="B8" s="10" t="s">
        <v>98</v>
      </c>
      <c r="C8" s="11"/>
      <c r="D8" s="12"/>
      <c r="E8" s="11"/>
      <c r="F8" s="13"/>
      <c r="G8" s="13"/>
      <c r="H8" s="239"/>
      <c r="I8" s="16"/>
      <c r="J8" s="16"/>
    </row>
    <row r="9" spans="1:10" s="447" customFormat="1" ht="20.100000000000001" customHeight="1" x14ac:dyDescent="0.3">
      <c r="A9" s="430">
        <v>2115</v>
      </c>
      <c r="B9" s="526" t="s">
        <v>431</v>
      </c>
      <c r="C9" s="377">
        <v>100</v>
      </c>
      <c r="D9" s="378">
        <v>0.54</v>
      </c>
      <c r="E9" s="377">
        <v>0</v>
      </c>
      <c r="F9" s="490">
        <v>0</v>
      </c>
      <c r="G9" s="431">
        <v>0</v>
      </c>
      <c r="H9" s="955">
        <v>0</v>
      </c>
      <c r="I9" s="382" t="s">
        <v>58</v>
      </c>
      <c r="J9" s="383" t="s">
        <v>58</v>
      </c>
    </row>
    <row r="10" spans="1:10" s="449" customFormat="1" ht="20.100000000000001" customHeight="1" x14ac:dyDescent="0.3">
      <c r="A10" s="428">
        <v>3121</v>
      </c>
      <c r="B10" s="525" t="s">
        <v>107</v>
      </c>
      <c r="C10" s="417">
        <v>150</v>
      </c>
      <c r="D10" s="439">
        <v>0</v>
      </c>
      <c r="E10" s="417">
        <v>200</v>
      </c>
      <c r="F10" s="485">
        <v>0</v>
      </c>
      <c r="G10" s="418">
        <v>0</v>
      </c>
      <c r="H10" s="956">
        <v>0</v>
      </c>
      <c r="I10" s="400">
        <f t="shared" ref="I10:I17" si="0">H10/E10*100</f>
        <v>0</v>
      </c>
      <c r="J10" s="401" t="s">
        <v>58</v>
      </c>
    </row>
    <row r="11" spans="1:10" s="449" customFormat="1" ht="20.100000000000001" customHeight="1" x14ac:dyDescent="0.3">
      <c r="A11" s="428">
        <v>3122</v>
      </c>
      <c r="B11" s="525" t="s">
        <v>108</v>
      </c>
      <c r="C11" s="417">
        <v>150</v>
      </c>
      <c r="D11" s="439">
        <v>5.99</v>
      </c>
      <c r="E11" s="417">
        <v>200</v>
      </c>
      <c r="F11" s="485">
        <v>0</v>
      </c>
      <c r="G11" s="418">
        <v>0</v>
      </c>
      <c r="H11" s="956">
        <v>0</v>
      </c>
      <c r="I11" s="400">
        <f t="shared" si="0"/>
        <v>0</v>
      </c>
      <c r="J11" s="401" t="s">
        <v>58</v>
      </c>
    </row>
    <row r="12" spans="1:10" s="449" customFormat="1" ht="30" customHeight="1" x14ac:dyDescent="0.3">
      <c r="A12" s="428">
        <v>3123</v>
      </c>
      <c r="B12" s="461" t="s">
        <v>117</v>
      </c>
      <c r="C12" s="417">
        <v>150</v>
      </c>
      <c r="D12" s="439">
        <v>21.24</v>
      </c>
      <c r="E12" s="417">
        <v>200</v>
      </c>
      <c r="F12" s="485">
        <v>100</v>
      </c>
      <c r="G12" s="418">
        <v>0</v>
      </c>
      <c r="H12" s="956">
        <v>0</v>
      </c>
      <c r="I12" s="400">
        <f t="shared" si="0"/>
        <v>0</v>
      </c>
      <c r="J12" s="401">
        <f t="shared" ref="J12:J17" si="1">H12/F12*100</f>
        <v>0</v>
      </c>
    </row>
    <row r="13" spans="1:10" s="449" customFormat="1" ht="20.100000000000001" customHeight="1" x14ac:dyDescent="0.3">
      <c r="A13" s="428">
        <v>3315</v>
      </c>
      <c r="B13" s="525" t="s">
        <v>312</v>
      </c>
      <c r="C13" s="417">
        <v>154</v>
      </c>
      <c r="D13" s="439">
        <v>0</v>
      </c>
      <c r="E13" s="417">
        <v>200</v>
      </c>
      <c r="F13" s="485">
        <v>43.91</v>
      </c>
      <c r="G13" s="418">
        <v>0</v>
      </c>
      <c r="H13" s="956">
        <v>0</v>
      </c>
      <c r="I13" s="400">
        <f t="shared" si="0"/>
        <v>0</v>
      </c>
      <c r="J13" s="401">
        <f t="shared" si="1"/>
        <v>0</v>
      </c>
    </row>
    <row r="14" spans="1:10" s="449" customFormat="1" ht="20.100000000000001" customHeight="1" x14ac:dyDescent="0.3">
      <c r="A14" s="428">
        <v>4350</v>
      </c>
      <c r="B14" s="525" t="s">
        <v>112</v>
      </c>
      <c r="C14" s="417">
        <v>150</v>
      </c>
      <c r="D14" s="439">
        <v>0</v>
      </c>
      <c r="E14" s="417">
        <v>200</v>
      </c>
      <c r="F14" s="485">
        <v>200</v>
      </c>
      <c r="G14" s="418">
        <v>0</v>
      </c>
      <c r="H14" s="956">
        <v>0</v>
      </c>
      <c r="I14" s="400">
        <f t="shared" si="0"/>
        <v>0</v>
      </c>
      <c r="J14" s="401">
        <f t="shared" si="1"/>
        <v>0</v>
      </c>
    </row>
    <row r="15" spans="1:10" s="449" customFormat="1" ht="30" customHeight="1" x14ac:dyDescent="0.3">
      <c r="A15" s="428">
        <v>4357</v>
      </c>
      <c r="B15" s="461" t="s">
        <v>180</v>
      </c>
      <c r="C15" s="417">
        <v>150</v>
      </c>
      <c r="D15" s="439">
        <v>0</v>
      </c>
      <c r="E15" s="417">
        <v>200</v>
      </c>
      <c r="F15" s="485">
        <v>200</v>
      </c>
      <c r="G15" s="418">
        <v>0</v>
      </c>
      <c r="H15" s="956">
        <v>0</v>
      </c>
      <c r="I15" s="400">
        <f t="shared" si="0"/>
        <v>0</v>
      </c>
      <c r="J15" s="401">
        <f t="shared" si="1"/>
        <v>0</v>
      </c>
    </row>
    <row r="16" spans="1:10" s="449" customFormat="1" ht="20.100000000000001" customHeight="1" thickBot="1" x14ac:dyDescent="0.35">
      <c r="A16" s="428">
        <v>6172</v>
      </c>
      <c r="B16" s="525" t="s">
        <v>99</v>
      </c>
      <c r="C16" s="417">
        <v>2996</v>
      </c>
      <c r="D16" s="439">
        <v>1272.2</v>
      </c>
      <c r="E16" s="417">
        <v>1500</v>
      </c>
      <c r="F16" s="485">
        <v>1500</v>
      </c>
      <c r="G16" s="418">
        <v>647.35</v>
      </c>
      <c r="H16" s="956">
        <v>1600</v>
      </c>
      <c r="I16" s="400">
        <f t="shared" si="0"/>
        <v>106.66666666666667</v>
      </c>
      <c r="J16" s="401">
        <f t="shared" si="1"/>
        <v>106.66666666666667</v>
      </c>
    </row>
    <row r="17" spans="1:10" ht="20.100000000000001" customHeight="1" thickBot="1" x14ac:dyDescent="0.35">
      <c r="A17" s="168"/>
      <c r="B17" s="348" t="s">
        <v>82</v>
      </c>
      <c r="C17" s="169">
        <f t="shared" ref="C17:H17" si="2">SUM(C9:C16)</f>
        <v>4000</v>
      </c>
      <c r="D17" s="170">
        <f t="shared" si="2"/>
        <v>1299.97</v>
      </c>
      <c r="E17" s="169">
        <f t="shared" si="2"/>
        <v>2700</v>
      </c>
      <c r="F17" s="171">
        <f t="shared" si="2"/>
        <v>2043.9099999999999</v>
      </c>
      <c r="G17" s="170">
        <f t="shared" si="2"/>
        <v>647.35</v>
      </c>
      <c r="H17" s="959">
        <f t="shared" si="2"/>
        <v>1600</v>
      </c>
      <c r="I17" s="180">
        <f t="shared" si="0"/>
        <v>59.259259259259252</v>
      </c>
      <c r="J17" s="173">
        <f t="shared" si="1"/>
        <v>78.2813333268099</v>
      </c>
    </row>
    <row r="18" spans="1:10" ht="15" customHeight="1" x14ac:dyDescent="0.3">
      <c r="A18" s="20"/>
      <c r="B18" s="20"/>
      <c r="C18" s="159"/>
      <c r="D18" s="158"/>
      <c r="E18" s="159"/>
      <c r="F18" s="161"/>
      <c r="G18" s="161"/>
      <c r="H18" s="161"/>
      <c r="I18" s="24"/>
      <c r="J18" s="25"/>
    </row>
    <row r="19" spans="1:10" x14ac:dyDescent="0.3">
      <c r="C19" s="3"/>
      <c r="E19" s="3"/>
      <c r="H19" s="3"/>
    </row>
    <row r="20" spans="1:10" x14ac:dyDescent="0.3">
      <c r="C20" s="3"/>
      <c r="E20" s="3"/>
      <c r="H20" s="3"/>
      <c r="I20" s="892"/>
    </row>
    <row r="22" spans="1:10" ht="15.6" x14ac:dyDescent="0.3">
      <c r="A22" s="19"/>
    </row>
  </sheetData>
  <mergeCells count="8">
    <mergeCell ref="J6:J7"/>
    <mergeCell ref="H6:H7"/>
    <mergeCell ref="A2:J2"/>
    <mergeCell ref="A6:A7"/>
    <mergeCell ref="B6:B7"/>
    <mergeCell ref="C6:D6"/>
    <mergeCell ref="E6:G6"/>
    <mergeCell ref="I6:I7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56" fitToHeight="2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M28"/>
  <sheetViews>
    <sheetView workbookViewId="0">
      <selection activeCell="C1" sqref="C1"/>
    </sheetView>
  </sheetViews>
  <sheetFormatPr defaultColWidth="9.109375" defaultRowHeight="13.8" x14ac:dyDescent="0.3"/>
  <cols>
    <col min="1" max="1" width="7.44140625" style="66" customWidth="1"/>
    <col min="2" max="2" width="6.6640625" style="1" customWidth="1"/>
    <col min="3" max="3" width="41.6640625" style="1" customWidth="1"/>
    <col min="4" max="4" width="14.6640625" style="2" customWidth="1"/>
    <col min="5" max="5" width="14.6640625" style="3" customWidth="1"/>
    <col min="6" max="6" width="14.6640625" style="2" customWidth="1"/>
    <col min="7" max="7" width="16.109375" style="3" customWidth="1"/>
    <col min="8" max="8" width="14.6640625" style="3" customWidth="1"/>
    <col min="9" max="9" width="14.6640625" style="697" customWidth="1"/>
    <col min="10" max="11" width="9.6640625" style="5" customWidth="1"/>
    <col min="12" max="12" width="10.44140625" style="1" customWidth="1"/>
    <col min="13" max="16384" width="9.109375" style="1"/>
  </cols>
  <sheetData>
    <row r="1" spans="1:13" ht="15" customHeight="1" x14ac:dyDescent="0.3">
      <c r="C1" s="1" t="s">
        <v>574</v>
      </c>
      <c r="K1" s="6"/>
    </row>
    <row r="2" spans="1:13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</row>
    <row r="3" spans="1:13" ht="15" customHeight="1" x14ac:dyDescent="0.3"/>
    <row r="4" spans="1:13" ht="20.100000000000001" customHeight="1" x14ac:dyDescent="0.3">
      <c r="A4" s="67" t="s">
        <v>240</v>
      </c>
      <c r="J4" s="8"/>
    </row>
    <row r="5" spans="1:13" ht="15" customHeight="1" thickBot="1" x14ac:dyDescent="0.35">
      <c r="A5" s="67"/>
      <c r="K5" s="8" t="s">
        <v>0</v>
      </c>
    </row>
    <row r="6" spans="1:13" s="62" customFormat="1" ht="15.9" customHeight="1" x14ac:dyDescent="0.2">
      <c r="A6" s="1159" t="s">
        <v>85</v>
      </c>
      <c r="B6" s="1165" t="s">
        <v>97</v>
      </c>
      <c r="C6" s="1166"/>
      <c r="D6" s="1060" t="s">
        <v>402</v>
      </c>
      <c r="E6" s="1061"/>
      <c r="F6" s="1060" t="s">
        <v>450</v>
      </c>
      <c r="G6" s="1064"/>
      <c r="H6" s="1061"/>
      <c r="I6" s="1169" t="s">
        <v>507</v>
      </c>
      <c r="J6" s="1161" t="s">
        <v>508</v>
      </c>
      <c r="K6" s="1163" t="s">
        <v>509</v>
      </c>
    </row>
    <row r="7" spans="1:13" s="62" customFormat="1" ht="30.9" customHeight="1" thickBot="1" x14ac:dyDescent="0.25">
      <c r="A7" s="1160"/>
      <c r="B7" s="1167"/>
      <c r="C7" s="1168"/>
      <c r="D7" s="236" t="s">
        <v>103</v>
      </c>
      <c r="E7" s="835" t="s">
        <v>520</v>
      </c>
      <c r="F7" s="236" t="s">
        <v>103</v>
      </c>
      <c r="G7" s="237" t="s">
        <v>556</v>
      </c>
      <c r="H7" s="238" t="s">
        <v>555</v>
      </c>
      <c r="I7" s="1170"/>
      <c r="J7" s="1162"/>
      <c r="K7" s="1164"/>
    </row>
    <row r="8" spans="1:13" s="9" customFormat="1" ht="20.100000000000001" customHeight="1" thickBot="1" x14ac:dyDescent="0.35">
      <c r="A8" s="68"/>
      <c r="B8" s="10" t="s">
        <v>98</v>
      </c>
      <c r="C8" s="10"/>
      <c r="D8" s="11"/>
      <c r="E8" s="12"/>
      <c r="F8" s="11"/>
      <c r="G8" s="13"/>
      <c r="H8" s="13"/>
      <c r="I8" s="239"/>
      <c r="J8" s="16"/>
      <c r="K8" s="16"/>
    </row>
    <row r="9" spans="1:13" s="447" customFormat="1" ht="20.100000000000001" customHeight="1" x14ac:dyDescent="0.3">
      <c r="A9" s="1179">
        <v>6172</v>
      </c>
      <c r="B9" s="1175" t="s">
        <v>99</v>
      </c>
      <c r="C9" s="1176"/>
      <c r="D9" s="377">
        <f t="shared" ref="D9:I9" si="0">SUM(D10:D21)</f>
        <v>718209</v>
      </c>
      <c r="E9" s="411">
        <f t="shared" si="0"/>
        <v>645828.07999999996</v>
      </c>
      <c r="F9" s="377">
        <f t="shared" si="0"/>
        <v>737818</v>
      </c>
      <c r="G9" s="380">
        <f t="shared" si="0"/>
        <v>791551.49999999988</v>
      </c>
      <c r="H9" s="381">
        <f t="shared" si="0"/>
        <v>556804.27</v>
      </c>
      <c r="I9" s="955">
        <f t="shared" si="0"/>
        <v>805082</v>
      </c>
      <c r="J9" s="416">
        <f t="shared" ref="J9:J25" si="1">I9/F9*100</f>
        <v>109.11661141365485</v>
      </c>
      <c r="K9" s="383">
        <f t="shared" ref="K9:K25" si="2">I9/G9*100</f>
        <v>101.70936445701892</v>
      </c>
      <c r="L9" s="977"/>
    </row>
    <row r="10" spans="1:13" ht="15" customHeight="1" x14ac:dyDescent="0.3">
      <c r="A10" s="1154"/>
      <c r="B10" s="1171" t="s">
        <v>92</v>
      </c>
      <c r="C10" s="187" t="s">
        <v>208</v>
      </c>
      <c r="D10" s="798">
        <v>508500</v>
      </c>
      <c r="E10" s="799">
        <v>467956.02</v>
      </c>
      <c r="F10" s="798">
        <v>523240</v>
      </c>
      <c r="G10" s="771">
        <v>561150.39</v>
      </c>
      <c r="H10" s="772">
        <v>404220.08</v>
      </c>
      <c r="I10" s="1026">
        <v>572800</v>
      </c>
      <c r="J10" s="91">
        <f t="shared" si="1"/>
        <v>109.47175292408838</v>
      </c>
      <c r="K10" s="64">
        <f t="shared" si="2"/>
        <v>102.07602279310541</v>
      </c>
      <c r="L10" s="970"/>
    </row>
    <row r="11" spans="1:13" ht="15" customHeight="1" x14ac:dyDescent="0.3">
      <c r="A11" s="1154"/>
      <c r="B11" s="1172"/>
      <c r="C11" s="187" t="s">
        <v>406</v>
      </c>
      <c r="D11" s="800">
        <v>13000</v>
      </c>
      <c r="E11" s="801">
        <v>9667.8700000000008</v>
      </c>
      <c r="F11" s="800">
        <v>13000</v>
      </c>
      <c r="G11" s="316">
        <v>14105.21</v>
      </c>
      <c r="H11" s="92">
        <f>6770.31+1105.21</f>
        <v>7875.52</v>
      </c>
      <c r="I11" s="957">
        <v>12000</v>
      </c>
      <c r="J11" s="91">
        <f t="shared" si="1"/>
        <v>92.307692307692307</v>
      </c>
      <c r="K11" s="64">
        <f t="shared" si="2"/>
        <v>85.074947483943888</v>
      </c>
      <c r="L11" s="978"/>
      <c r="M11" s="2"/>
    </row>
    <row r="12" spans="1:13" ht="25.5" customHeight="1" x14ac:dyDescent="0.3">
      <c r="A12" s="1154"/>
      <c r="B12" s="1172"/>
      <c r="C12" s="187" t="s">
        <v>407</v>
      </c>
      <c r="D12" s="79">
        <v>181830</v>
      </c>
      <c r="E12" s="92">
        <v>161733.51999999999</v>
      </c>
      <c r="F12" s="79">
        <v>186689</v>
      </c>
      <c r="G12" s="316">
        <v>200080.9</v>
      </c>
      <c r="H12" s="92">
        <v>139447.92000000001</v>
      </c>
      <c r="I12" s="957">
        <v>204540</v>
      </c>
      <c r="J12" s="91">
        <f t="shared" si="1"/>
        <v>109.56189170224278</v>
      </c>
      <c r="K12" s="78">
        <f t="shared" si="2"/>
        <v>102.22864851167704</v>
      </c>
      <c r="L12" s="970"/>
    </row>
    <row r="13" spans="1:13" ht="15" customHeight="1" x14ac:dyDescent="0.3">
      <c r="A13" s="1154"/>
      <c r="B13" s="1172"/>
      <c r="C13" s="187" t="s">
        <v>408</v>
      </c>
      <c r="D13" s="79">
        <v>0</v>
      </c>
      <c r="E13" s="92">
        <v>568.70000000000005</v>
      </c>
      <c r="F13" s="79">
        <v>0</v>
      </c>
      <c r="G13" s="316">
        <v>0</v>
      </c>
      <c r="H13" s="92">
        <v>0</v>
      </c>
      <c r="I13" s="957">
        <v>0</v>
      </c>
      <c r="J13" s="91" t="s">
        <v>58</v>
      </c>
      <c r="K13" s="78" t="s">
        <v>58</v>
      </c>
      <c r="L13" s="970"/>
    </row>
    <row r="14" spans="1:13" ht="15" customHeight="1" x14ac:dyDescent="0.3">
      <c r="A14" s="1154"/>
      <c r="B14" s="1172"/>
      <c r="C14" s="187" t="s">
        <v>409</v>
      </c>
      <c r="D14" s="800">
        <v>220</v>
      </c>
      <c r="E14" s="801">
        <v>86.64</v>
      </c>
      <c r="F14" s="800">
        <v>220</v>
      </c>
      <c r="G14" s="316">
        <v>220</v>
      </c>
      <c r="H14" s="92">
        <v>102.31</v>
      </c>
      <c r="I14" s="957">
        <v>170</v>
      </c>
      <c r="J14" s="91">
        <f t="shared" si="1"/>
        <v>77.272727272727266</v>
      </c>
      <c r="K14" s="78">
        <f t="shared" si="2"/>
        <v>77.272727272727266</v>
      </c>
      <c r="L14" s="970"/>
    </row>
    <row r="15" spans="1:13" ht="15" customHeight="1" x14ac:dyDescent="0.3">
      <c r="A15" s="1154"/>
      <c r="B15" s="1172"/>
      <c r="C15" s="572" t="s">
        <v>242</v>
      </c>
      <c r="D15" s="800">
        <v>0</v>
      </c>
      <c r="E15" s="801">
        <v>1.1499999999999999</v>
      </c>
      <c r="F15" s="800">
        <v>0</v>
      </c>
      <c r="G15" s="316">
        <v>1</v>
      </c>
      <c r="H15" s="92">
        <v>0.01</v>
      </c>
      <c r="I15" s="957">
        <v>0</v>
      </c>
      <c r="J15" s="91" t="s">
        <v>58</v>
      </c>
      <c r="K15" s="78">
        <f t="shared" si="2"/>
        <v>0</v>
      </c>
      <c r="L15" s="970"/>
    </row>
    <row r="16" spans="1:13" ht="15" customHeight="1" x14ac:dyDescent="0.3">
      <c r="A16" s="1154"/>
      <c r="B16" s="1172"/>
      <c r="C16" s="187" t="s">
        <v>410</v>
      </c>
      <c r="D16" s="800">
        <v>13489</v>
      </c>
      <c r="E16" s="801">
        <v>4668.63</v>
      </c>
      <c r="F16" s="800">
        <v>13389</v>
      </c>
      <c r="G16" s="773">
        <v>13390.34</v>
      </c>
      <c r="H16" s="74">
        <v>3664.07</v>
      </c>
      <c r="I16" s="957">
        <v>13022</v>
      </c>
      <c r="J16" s="91">
        <f t="shared" si="1"/>
        <v>97.25894390917918</v>
      </c>
      <c r="K16" s="78">
        <f t="shared" si="2"/>
        <v>97.249210998376441</v>
      </c>
      <c r="L16" s="970"/>
    </row>
    <row r="17" spans="1:12" ht="15" customHeight="1" x14ac:dyDescent="0.3">
      <c r="A17" s="1154"/>
      <c r="B17" s="1172"/>
      <c r="C17" s="187" t="s">
        <v>411</v>
      </c>
      <c r="D17" s="800">
        <v>300</v>
      </c>
      <c r="E17" s="801">
        <v>499.09</v>
      </c>
      <c r="F17" s="800">
        <v>400</v>
      </c>
      <c r="G17" s="773">
        <v>1085.2</v>
      </c>
      <c r="H17" s="74">
        <v>625.9</v>
      </c>
      <c r="I17" s="957">
        <v>900</v>
      </c>
      <c r="J17" s="91">
        <f t="shared" si="1"/>
        <v>225</v>
      </c>
      <c r="K17" s="78">
        <f t="shared" si="2"/>
        <v>82.934021378547726</v>
      </c>
      <c r="L17" s="970"/>
    </row>
    <row r="18" spans="1:12" s="66" customFormat="1" ht="27" customHeight="1" x14ac:dyDescent="0.25">
      <c r="A18" s="1154"/>
      <c r="B18" s="1172"/>
      <c r="C18" s="187" t="s">
        <v>291</v>
      </c>
      <c r="D18" s="79">
        <v>800</v>
      </c>
      <c r="E18" s="92">
        <v>581.25</v>
      </c>
      <c r="F18" s="79">
        <v>800</v>
      </c>
      <c r="G18" s="773">
        <v>846.88</v>
      </c>
      <c r="H18" s="74">
        <v>846.88</v>
      </c>
      <c r="I18" s="957">
        <v>1000</v>
      </c>
      <c r="J18" s="91">
        <f t="shared" si="1"/>
        <v>125</v>
      </c>
      <c r="K18" s="78">
        <f t="shared" si="2"/>
        <v>118.08048365766106</v>
      </c>
      <c r="L18" s="85"/>
    </row>
    <row r="19" spans="1:12" s="66" customFormat="1" ht="27" customHeight="1" x14ac:dyDescent="0.25">
      <c r="A19" s="1154"/>
      <c r="B19" s="1172"/>
      <c r="C19" s="760" t="s">
        <v>419</v>
      </c>
      <c r="D19" s="802">
        <v>0</v>
      </c>
      <c r="E19" s="97">
        <v>0.01</v>
      </c>
      <c r="F19" s="73">
        <v>0</v>
      </c>
      <c r="G19" s="773">
        <v>0</v>
      </c>
      <c r="H19" s="74">
        <v>0</v>
      </c>
      <c r="I19" s="957">
        <v>0</v>
      </c>
      <c r="J19" s="91" t="s">
        <v>58</v>
      </c>
      <c r="K19" s="78" t="s">
        <v>58</v>
      </c>
      <c r="L19" s="85"/>
    </row>
    <row r="20" spans="1:12" ht="15" customHeight="1" x14ac:dyDescent="0.3">
      <c r="A20" s="1154"/>
      <c r="B20" s="1172"/>
      <c r="C20" s="187" t="s">
        <v>526</v>
      </c>
      <c r="D20" s="800">
        <v>0</v>
      </c>
      <c r="E20" s="801">
        <v>0</v>
      </c>
      <c r="F20" s="800">
        <v>0</v>
      </c>
      <c r="G20" s="773">
        <v>650</v>
      </c>
      <c r="H20" s="74">
        <v>0</v>
      </c>
      <c r="I20" s="957">
        <v>650</v>
      </c>
      <c r="J20" s="91" t="s">
        <v>58</v>
      </c>
      <c r="K20" s="78">
        <f t="shared" si="2"/>
        <v>100</v>
      </c>
      <c r="L20" s="970"/>
    </row>
    <row r="21" spans="1:12" ht="51" customHeight="1" x14ac:dyDescent="0.3">
      <c r="A21" s="1154"/>
      <c r="B21" s="1172"/>
      <c r="C21" s="187" t="s">
        <v>412</v>
      </c>
      <c r="D21" s="79">
        <v>70</v>
      </c>
      <c r="E21" s="92">
        <v>65.2</v>
      </c>
      <c r="F21" s="79">
        <v>80</v>
      </c>
      <c r="G21" s="773">
        <v>21.58</v>
      </c>
      <c r="H21" s="74">
        <v>21.58</v>
      </c>
      <c r="I21" s="957">
        <v>0</v>
      </c>
      <c r="J21" s="91">
        <f t="shared" si="1"/>
        <v>0</v>
      </c>
      <c r="K21" s="78">
        <f t="shared" si="2"/>
        <v>0</v>
      </c>
      <c r="L21" s="970"/>
    </row>
    <row r="22" spans="1:12" ht="15" customHeight="1" x14ac:dyDescent="0.3">
      <c r="A22" s="1154"/>
      <c r="B22" s="551" t="s">
        <v>92</v>
      </c>
      <c r="C22" s="565" t="s">
        <v>345</v>
      </c>
      <c r="D22" s="800">
        <v>699830</v>
      </c>
      <c r="E22" s="801">
        <v>636107.97</v>
      </c>
      <c r="F22" s="79">
        <v>722929</v>
      </c>
      <c r="G22" s="773">
        <v>775336.5</v>
      </c>
      <c r="H22" s="74">
        <v>551543.52</v>
      </c>
      <c r="I22" s="957">
        <v>789340</v>
      </c>
      <c r="J22" s="91">
        <f t="shared" si="1"/>
        <v>109.18637929865864</v>
      </c>
      <c r="K22" s="78">
        <f t="shared" si="2"/>
        <v>101.8061190205801</v>
      </c>
    </row>
    <row r="23" spans="1:12" s="20" customFormat="1" ht="29.25" customHeight="1" x14ac:dyDescent="0.3">
      <c r="A23" s="428">
        <v>6330</v>
      </c>
      <c r="B23" s="1147" t="s">
        <v>183</v>
      </c>
      <c r="C23" s="1148"/>
      <c r="D23" s="395">
        <v>0</v>
      </c>
      <c r="E23" s="413">
        <v>25261.3</v>
      </c>
      <c r="F23" s="395">
        <v>0</v>
      </c>
      <c r="G23" s="419">
        <v>29533</v>
      </c>
      <c r="H23" s="426">
        <v>21972</v>
      </c>
      <c r="I23" s="956">
        <v>0</v>
      </c>
      <c r="J23" s="400" t="s">
        <v>58</v>
      </c>
      <c r="K23" s="401">
        <f t="shared" si="2"/>
        <v>0</v>
      </c>
    </row>
    <row r="24" spans="1:12" s="447" customFormat="1" ht="20.100000000000001" customHeight="1" thickBot="1" x14ac:dyDescent="0.35">
      <c r="A24" s="435">
        <v>6409</v>
      </c>
      <c r="B24" s="1251" t="s">
        <v>252</v>
      </c>
      <c r="C24" s="1252"/>
      <c r="D24" s="421">
        <v>25250</v>
      </c>
      <c r="E24" s="486">
        <v>0</v>
      </c>
      <c r="F24" s="421">
        <v>26162</v>
      </c>
      <c r="G24" s="422">
        <v>0</v>
      </c>
      <c r="H24" s="489">
        <v>0</v>
      </c>
      <c r="I24" s="961">
        <v>31603</v>
      </c>
      <c r="J24" s="759">
        <f t="shared" si="1"/>
        <v>120.79733965293174</v>
      </c>
      <c r="K24" s="401" t="s">
        <v>58</v>
      </c>
      <c r="L24" s="1"/>
    </row>
    <row r="25" spans="1:12" ht="20.100000000000001" customHeight="1" thickBot="1" x14ac:dyDescent="0.35">
      <c r="A25" s="174"/>
      <c r="B25" s="1249" t="s">
        <v>82</v>
      </c>
      <c r="C25" s="1250"/>
      <c r="D25" s="169">
        <f>+D9+D23+D24</f>
        <v>743459</v>
      </c>
      <c r="E25" s="170">
        <f>+E9+E23+E24</f>
        <v>671089.38</v>
      </c>
      <c r="F25" s="169">
        <f>+F9+F23+F24</f>
        <v>763980</v>
      </c>
      <c r="G25" s="171">
        <f>+G9+G23+G24</f>
        <v>821084.49999999988</v>
      </c>
      <c r="H25" s="170">
        <f>H9+H23+H24</f>
        <v>578776.27</v>
      </c>
      <c r="I25" s="959">
        <f>+I9+I23+I24</f>
        <v>836685</v>
      </c>
      <c r="J25" s="180">
        <f t="shared" si="1"/>
        <v>109.51661038247073</v>
      </c>
      <c r="K25" s="177">
        <f t="shared" si="2"/>
        <v>101.89998715113975</v>
      </c>
    </row>
    <row r="26" spans="1:12" ht="14.4" x14ac:dyDescent="0.3">
      <c r="A26" s="69"/>
      <c r="B26" s="20"/>
      <c r="C26" s="20"/>
      <c r="D26" s="159"/>
      <c r="E26" s="158"/>
      <c r="F26" s="159"/>
      <c r="G26" s="161"/>
      <c r="H26" s="161"/>
      <c r="I26" s="161"/>
      <c r="J26" s="24"/>
      <c r="K26" s="25"/>
    </row>
    <row r="27" spans="1:12" x14ac:dyDescent="0.3">
      <c r="D27" s="3"/>
      <c r="F27" s="3"/>
      <c r="I27" s="3"/>
      <c r="J27" s="974"/>
    </row>
    <row r="28" spans="1:12" x14ac:dyDescent="0.3">
      <c r="D28" s="3"/>
      <c r="F28" s="3"/>
      <c r="I28" s="3"/>
      <c r="J28" s="892"/>
    </row>
  </sheetData>
  <mergeCells count="14">
    <mergeCell ref="B25:C25"/>
    <mergeCell ref="A2:K2"/>
    <mergeCell ref="A6:A7"/>
    <mergeCell ref="B6:C7"/>
    <mergeCell ref="D6:E6"/>
    <mergeCell ref="F6:H6"/>
    <mergeCell ref="J6:J7"/>
    <mergeCell ref="K6:K7"/>
    <mergeCell ref="B23:C23"/>
    <mergeCell ref="B24:C24"/>
    <mergeCell ref="A9:A22"/>
    <mergeCell ref="B9:C9"/>
    <mergeCell ref="B10:B21"/>
    <mergeCell ref="I6:I7"/>
  </mergeCells>
  <pageMargins left="0.70866141732283472" right="0.70866141732283472" top="0.78740157480314965" bottom="0.78740157480314965" header="0.31496062992125984" footer="0.31496062992125984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S13"/>
  <sheetViews>
    <sheetView workbookViewId="0">
      <selection activeCell="B1" sqref="B1"/>
    </sheetView>
  </sheetViews>
  <sheetFormatPr defaultColWidth="9.109375" defaultRowHeight="13.8" x14ac:dyDescent="0.3"/>
  <cols>
    <col min="1" max="1" width="7.6640625" style="1" customWidth="1"/>
    <col min="2" max="2" width="46.6640625" style="1" customWidth="1"/>
    <col min="3" max="3" width="14.6640625" style="2" customWidth="1"/>
    <col min="4" max="4" width="14.6640625" style="3" customWidth="1"/>
    <col min="5" max="5" width="14.6640625" style="2" customWidth="1"/>
    <col min="6" max="6" width="15.88671875" style="3" customWidth="1"/>
    <col min="7" max="7" width="14.6640625" style="3" customWidth="1"/>
    <col min="8" max="8" width="14.6640625" style="4" customWidth="1"/>
    <col min="9" max="10" width="9.6640625" style="5" customWidth="1"/>
    <col min="11" max="16384" width="9.109375" style="1"/>
  </cols>
  <sheetData>
    <row r="1" spans="1:19" ht="14.4" x14ac:dyDescent="0.3">
      <c r="A1" s="29"/>
      <c r="B1" s="29" t="s">
        <v>574</v>
      </c>
      <c r="C1" s="29"/>
      <c r="D1" s="29"/>
      <c r="E1" s="29"/>
      <c r="F1" s="29"/>
      <c r="G1" s="29"/>
      <c r="H1" s="29"/>
      <c r="I1" s="29"/>
      <c r="J1" s="6"/>
      <c r="K1" s="29"/>
      <c r="L1" s="29"/>
      <c r="M1" s="29"/>
      <c r="N1" s="29"/>
      <c r="O1" s="29"/>
      <c r="P1" s="29"/>
      <c r="Q1" s="29"/>
      <c r="R1" s="29"/>
      <c r="S1" s="29"/>
    </row>
    <row r="2" spans="1:19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  <c r="L2" s="29"/>
      <c r="M2" s="29"/>
      <c r="N2" s="29"/>
      <c r="O2" s="29"/>
      <c r="P2" s="29"/>
      <c r="Q2" s="29"/>
      <c r="R2" s="29"/>
      <c r="S2" s="29"/>
    </row>
    <row r="3" spans="1:19" ht="15" customHeight="1" x14ac:dyDescent="0.3"/>
    <row r="4" spans="1:19" ht="20.100000000000001" customHeight="1" x14ac:dyDescent="0.35">
      <c r="A4" s="7" t="s">
        <v>222</v>
      </c>
      <c r="B4" s="29"/>
      <c r="C4" s="29"/>
      <c r="D4" s="29"/>
      <c r="E4" s="29"/>
      <c r="F4" s="29"/>
      <c r="G4" s="29"/>
      <c r="H4" s="29"/>
      <c r="I4" s="120"/>
      <c r="J4" s="29"/>
      <c r="K4" s="29"/>
      <c r="L4" s="29"/>
      <c r="M4" s="29"/>
      <c r="N4" s="29"/>
      <c r="O4" s="29"/>
      <c r="P4" s="29"/>
      <c r="Q4" s="29"/>
      <c r="R4" s="29"/>
      <c r="S4" s="29"/>
    </row>
    <row r="5" spans="1:19" ht="15" customHeight="1" thickBot="1" x14ac:dyDescent="0.4">
      <c r="A5" s="7"/>
      <c r="B5" s="29"/>
      <c r="C5" s="29"/>
      <c r="D5" s="29"/>
      <c r="E5" s="29"/>
      <c r="F5" s="29"/>
      <c r="G5" s="29"/>
      <c r="H5" s="29"/>
      <c r="I5" s="29"/>
      <c r="J5" s="120" t="s">
        <v>0</v>
      </c>
      <c r="K5" s="29"/>
      <c r="L5" s="29"/>
      <c r="M5" s="29"/>
      <c r="N5" s="29"/>
      <c r="O5" s="29"/>
      <c r="P5" s="29"/>
      <c r="Q5" s="29"/>
      <c r="R5" s="29"/>
      <c r="S5" s="29"/>
    </row>
    <row r="6" spans="1:19" ht="15.9" customHeight="1" x14ac:dyDescent="0.3">
      <c r="A6" s="1159" t="s">
        <v>85</v>
      </c>
      <c r="B6" s="1166" t="s">
        <v>97</v>
      </c>
      <c r="C6" s="1060" t="s">
        <v>402</v>
      </c>
      <c r="D6" s="1061"/>
      <c r="E6" s="1060" t="s">
        <v>450</v>
      </c>
      <c r="F6" s="1064"/>
      <c r="G6" s="1061"/>
      <c r="H6" s="1169" t="s">
        <v>507</v>
      </c>
      <c r="I6" s="1161" t="s">
        <v>508</v>
      </c>
      <c r="J6" s="1163" t="s">
        <v>509</v>
      </c>
      <c r="K6" s="62"/>
      <c r="L6" s="62"/>
      <c r="M6" s="62"/>
      <c r="N6" s="62"/>
      <c r="O6" s="62"/>
      <c r="P6" s="62"/>
      <c r="Q6" s="62"/>
      <c r="R6" s="62"/>
      <c r="S6" s="62"/>
    </row>
    <row r="7" spans="1:19" ht="30.9" customHeight="1" thickBot="1" x14ac:dyDescent="0.35">
      <c r="A7" s="1160"/>
      <c r="B7" s="1168"/>
      <c r="C7" s="236" t="s">
        <v>103</v>
      </c>
      <c r="D7" s="835" t="s">
        <v>520</v>
      </c>
      <c r="E7" s="236" t="s">
        <v>103</v>
      </c>
      <c r="F7" s="237" t="s">
        <v>556</v>
      </c>
      <c r="G7" s="238" t="s">
        <v>555</v>
      </c>
      <c r="H7" s="1170"/>
      <c r="I7" s="1162"/>
      <c r="J7" s="1164"/>
      <c r="K7" s="62"/>
      <c r="L7" s="62"/>
      <c r="M7" s="62"/>
      <c r="N7" s="62"/>
      <c r="O7" s="62"/>
      <c r="P7" s="62"/>
      <c r="Q7" s="62"/>
      <c r="R7" s="62"/>
      <c r="S7" s="62"/>
    </row>
    <row r="8" spans="1:19" ht="20.100000000000001" customHeight="1" thickBot="1" x14ac:dyDescent="0.35">
      <c r="A8" s="9"/>
      <c r="B8" s="121" t="s">
        <v>98</v>
      </c>
      <c r="C8" s="122"/>
      <c r="D8" s="123"/>
      <c r="E8" s="122"/>
      <c r="F8" s="13"/>
      <c r="G8" s="13"/>
      <c r="H8" s="15"/>
      <c r="I8" s="16"/>
      <c r="J8" s="16"/>
      <c r="K8" s="9"/>
      <c r="L8" s="9"/>
      <c r="M8" s="9"/>
      <c r="N8" s="9"/>
      <c r="O8" s="9"/>
      <c r="P8" s="9"/>
      <c r="Q8" s="9"/>
      <c r="R8" s="9"/>
      <c r="S8" s="9"/>
    </row>
    <row r="9" spans="1:19" s="19" customFormat="1" ht="20.100000000000001" customHeight="1" thickBot="1" x14ac:dyDescent="0.35">
      <c r="A9" s="430">
        <v>3636</v>
      </c>
      <c r="B9" s="919" t="s">
        <v>110</v>
      </c>
      <c r="C9" s="377">
        <v>1422</v>
      </c>
      <c r="D9" s="431">
        <v>2342.0500000000002</v>
      </c>
      <c r="E9" s="412">
        <v>1543</v>
      </c>
      <c r="F9" s="380">
        <v>3872.44</v>
      </c>
      <c r="G9" s="381">
        <v>1525.36</v>
      </c>
      <c r="H9" s="955">
        <v>5043</v>
      </c>
      <c r="I9" s="382">
        <f>H9/E9*100</f>
        <v>326.83084899546338</v>
      </c>
      <c r="J9" s="383">
        <f>H9/F9*100</f>
        <v>130.22796996209107</v>
      </c>
      <c r="K9" s="975"/>
      <c r="L9" s="901"/>
      <c r="M9" s="901"/>
      <c r="N9" s="901"/>
      <c r="O9" s="901"/>
      <c r="P9" s="901"/>
      <c r="Q9" s="901"/>
      <c r="R9" s="901"/>
      <c r="S9" s="901"/>
    </row>
    <row r="10" spans="1:19" ht="20.100000000000001" customHeight="1" thickBot="1" x14ac:dyDescent="0.35">
      <c r="A10" s="178"/>
      <c r="B10" s="189" t="s">
        <v>82</v>
      </c>
      <c r="C10" s="175">
        <f>SUM(C9)</f>
        <v>1422</v>
      </c>
      <c r="D10" s="190">
        <f>SUM(D9)</f>
        <v>2342.0500000000002</v>
      </c>
      <c r="E10" s="175">
        <f t="shared" ref="E10:H10" si="0">SUM(E9:E9)</f>
        <v>1543</v>
      </c>
      <c r="F10" s="191">
        <f t="shared" si="0"/>
        <v>3872.44</v>
      </c>
      <c r="G10" s="191">
        <f t="shared" si="0"/>
        <v>1525.36</v>
      </c>
      <c r="H10" s="979">
        <f t="shared" si="0"/>
        <v>5043</v>
      </c>
      <c r="I10" s="172">
        <f>H10/E10*100</f>
        <v>326.83084899546338</v>
      </c>
      <c r="J10" s="173">
        <f>H10/F10*100</f>
        <v>130.22796996209107</v>
      </c>
      <c r="K10" s="975"/>
      <c r="L10" s="19"/>
      <c r="M10" s="19"/>
      <c r="N10" s="19"/>
      <c r="O10" s="19"/>
      <c r="P10" s="19"/>
      <c r="Q10" s="19"/>
      <c r="R10" s="19"/>
      <c r="S10" s="19"/>
    </row>
    <row r="12" spans="1:19" x14ac:dyDescent="0.3">
      <c r="C12" s="3"/>
      <c r="E12" s="3"/>
      <c r="H12" s="3"/>
      <c r="I12" s="974"/>
    </row>
    <row r="13" spans="1:19" x14ac:dyDescent="0.3">
      <c r="C13" s="3"/>
      <c r="E13" s="3"/>
      <c r="H13" s="3"/>
      <c r="I13" s="892"/>
    </row>
  </sheetData>
  <mergeCells count="8">
    <mergeCell ref="J6:J7"/>
    <mergeCell ref="H6:H7"/>
    <mergeCell ref="A2:K2"/>
    <mergeCell ref="A6:A7"/>
    <mergeCell ref="B6:B7"/>
    <mergeCell ref="C6:D6"/>
    <mergeCell ref="E6:G6"/>
    <mergeCell ref="I6:I7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53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454A6-DA91-4223-B564-A51C5516E12C}">
  <sheetPr>
    <pageSetUpPr fitToPage="1"/>
  </sheetPr>
  <dimension ref="A1:S17"/>
  <sheetViews>
    <sheetView workbookViewId="0">
      <selection activeCell="B1" sqref="B1"/>
    </sheetView>
  </sheetViews>
  <sheetFormatPr defaultColWidth="9.109375" defaultRowHeight="13.8" x14ac:dyDescent="0.3"/>
  <cols>
    <col min="1" max="1" width="7.6640625" style="1" customWidth="1"/>
    <col min="2" max="2" width="46.6640625" style="1" customWidth="1"/>
    <col min="3" max="3" width="14.6640625" style="2" customWidth="1"/>
    <col min="4" max="4" width="14.6640625" style="3" customWidth="1"/>
    <col min="5" max="5" width="14.6640625" style="2" customWidth="1"/>
    <col min="6" max="6" width="15.6640625" style="3" customWidth="1"/>
    <col min="7" max="7" width="14.6640625" style="3" customWidth="1"/>
    <col min="8" max="8" width="14.6640625" style="4" customWidth="1"/>
    <col min="9" max="10" width="9.6640625" style="5" customWidth="1"/>
    <col min="11" max="16384" width="9.109375" style="1"/>
  </cols>
  <sheetData>
    <row r="1" spans="1:19" ht="14.4" x14ac:dyDescent="0.3">
      <c r="A1" s="29"/>
      <c r="B1" s="29" t="s">
        <v>574</v>
      </c>
      <c r="C1" s="29"/>
      <c r="D1" s="29"/>
      <c r="E1" s="29"/>
      <c r="F1" s="29"/>
      <c r="G1" s="29"/>
      <c r="H1" s="29"/>
      <c r="I1" s="29"/>
      <c r="J1" s="6"/>
      <c r="K1" s="29"/>
      <c r="L1" s="29"/>
      <c r="M1" s="29"/>
      <c r="N1" s="29"/>
      <c r="O1" s="29"/>
      <c r="P1" s="29"/>
      <c r="Q1" s="29"/>
      <c r="R1" s="29"/>
      <c r="S1" s="29"/>
    </row>
    <row r="2" spans="1:19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  <c r="L2" s="29"/>
      <c r="M2" s="29"/>
      <c r="N2" s="29"/>
      <c r="O2" s="29"/>
      <c r="P2" s="29"/>
      <c r="Q2" s="29"/>
      <c r="R2" s="29"/>
      <c r="S2" s="29"/>
    </row>
    <row r="3" spans="1:19" ht="15" customHeight="1" x14ac:dyDescent="0.3"/>
    <row r="4" spans="1:19" ht="20.100000000000001" customHeight="1" x14ac:dyDescent="0.35">
      <c r="A4" s="7" t="s">
        <v>393</v>
      </c>
      <c r="B4" s="29"/>
      <c r="C4" s="29"/>
      <c r="D4" s="29"/>
      <c r="E4" s="29"/>
      <c r="F4" s="29"/>
      <c r="G4" s="29"/>
      <c r="H4" s="29"/>
      <c r="I4" s="120"/>
      <c r="J4" s="29"/>
      <c r="K4" s="29"/>
      <c r="L4" s="29"/>
      <c r="M4" s="29"/>
      <c r="N4" s="29"/>
      <c r="O4" s="29"/>
      <c r="P4" s="29"/>
      <c r="Q4" s="29"/>
      <c r="R4" s="29"/>
      <c r="S4" s="29"/>
    </row>
    <row r="5" spans="1:19" ht="15" customHeight="1" thickBot="1" x14ac:dyDescent="0.4">
      <c r="A5" s="7"/>
      <c r="B5" s="29"/>
      <c r="C5" s="29"/>
      <c r="D5" s="29"/>
      <c r="E5" s="29"/>
      <c r="F5" s="29"/>
      <c r="G5" s="29"/>
      <c r="H5" s="29"/>
      <c r="I5" s="29"/>
      <c r="J5" s="120" t="s">
        <v>0</v>
      </c>
      <c r="K5" s="29"/>
      <c r="L5" s="29"/>
      <c r="M5" s="29"/>
      <c r="N5" s="29"/>
      <c r="O5" s="29"/>
      <c r="P5" s="29"/>
      <c r="Q5" s="29"/>
      <c r="R5" s="29"/>
      <c r="S5" s="29"/>
    </row>
    <row r="6" spans="1:19" ht="15.9" customHeight="1" x14ac:dyDescent="0.3">
      <c r="A6" s="1159" t="s">
        <v>85</v>
      </c>
      <c r="B6" s="1166" t="s">
        <v>97</v>
      </c>
      <c r="C6" s="1060" t="s">
        <v>402</v>
      </c>
      <c r="D6" s="1061"/>
      <c r="E6" s="1060" t="s">
        <v>450</v>
      </c>
      <c r="F6" s="1064"/>
      <c r="G6" s="1061"/>
      <c r="H6" s="1169" t="s">
        <v>507</v>
      </c>
      <c r="I6" s="1161" t="s">
        <v>508</v>
      </c>
      <c r="J6" s="1163" t="s">
        <v>509</v>
      </c>
      <c r="K6" s="62"/>
      <c r="L6" s="62"/>
      <c r="M6" s="62"/>
      <c r="N6" s="62"/>
      <c r="O6" s="62"/>
      <c r="P6" s="62"/>
      <c r="Q6" s="62"/>
      <c r="R6" s="62"/>
      <c r="S6" s="62"/>
    </row>
    <row r="7" spans="1:19" ht="30.9" customHeight="1" thickBot="1" x14ac:dyDescent="0.35">
      <c r="A7" s="1160"/>
      <c r="B7" s="1168"/>
      <c r="C7" s="236" t="s">
        <v>103</v>
      </c>
      <c r="D7" s="835" t="s">
        <v>520</v>
      </c>
      <c r="E7" s="236" t="s">
        <v>103</v>
      </c>
      <c r="F7" s="237" t="s">
        <v>556</v>
      </c>
      <c r="G7" s="238" t="s">
        <v>555</v>
      </c>
      <c r="H7" s="1170"/>
      <c r="I7" s="1162"/>
      <c r="J7" s="1164"/>
      <c r="K7" s="62"/>
      <c r="L7" s="62"/>
      <c r="M7" s="62"/>
      <c r="N7" s="62"/>
      <c r="O7" s="62"/>
      <c r="P7" s="62"/>
      <c r="Q7" s="62"/>
      <c r="R7" s="62"/>
      <c r="S7" s="62"/>
    </row>
    <row r="8" spans="1:19" ht="20.100000000000001" customHeight="1" thickBot="1" x14ac:dyDescent="0.35">
      <c r="A8" s="9"/>
      <c r="B8" s="121" t="s">
        <v>98</v>
      </c>
      <c r="C8" s="122"/>
      <c r="D8" s="123"/>
      <c r="E8" s="122"/>
      <c r="F8" s="13"/>
      <c r="G8" s="13"/>
      <c r="H8" s="15"/>
      <c r="I8" s="16"/>
      <c r="J8" s="16"/>
      <c r="K8" s="9"/>
      <c r="L8" s="9"/>
      <c r="M8" s="9"/>
      <c r="N8" s="9"/>
      <c r="O8" s="9"/>
      <c r="P8" s="9"/>
      <c r="Q8" s="9"/>
      <c r="R8" s="9"/>
      <c r="S8" s="9"/>
    </row>
    <row r="9" spans="1:19" s="19" customFormat="1" ht="30.75" customHeight="1" x14ac:dyDescent="0.3">
      <c r="A9" s="430">
        <v>6115</v>
      </c>
      <c r="B9" s="920" t="s">
        <v>371</v>
      </c>
      <c r="C9" s="377">
        <v>100</v>
      </c>
      <c r="D9" s="431">
        <v>0</v>
      </c>
      <c r="E9" s="377">
        <v>100</v>
      </c>
      <c r="F9" s="494">
        <v>52.46</v>
      </c>
      <c r="G9" s="496">
        <v>0</v>
      </c>
      <c r="H9" s="955">
        <v>100</v>
      </c>
      <c r="I9" s="382">
        <f>+H9/E9*100</f>
        <v>100</v>
      </c>
      <c r="J9" s="383">
        <f>H9/F9*100</f>
        <v>190.62142584826535</v>
      </c>
      <c r="K9" s="901"/>
      <c r="L9" s="901"/>
      <c r="M9" s="901"/>
      <c r="N9" s="901"/>
      <c r="O9" s="901"/>
      <c r="P9" s="901"/>
      <c r="Q9" s="901"/>
      <c r="R9" s="901"/>
      <c r="S9" s="901"/>
    </row>
    <row r="10" spans="1:19" s="19" customFormat="1" ht="20.100000000000001" customHeight="1" thickBot="1" x14ac:dyDescent="0.35">
      <c r="A10" s="917">
        <v>6172</v>
      </c>
      <c r="B10" s="964" t="s">
        <v>99</v>
      </c>
      <c r="C10" s="965">
        <v>0</v>
      </c>
      <c r="D10" s="966">
        <v>0</v>
      </c>
      <c r="E10" s="965">
        <v>0</v>
      </c>
      <c r="F10" s="967">
        <v>0</v>
      </c>
      <c r="G10" s="968">
        <v>0</v>
      </c>
      <c r="H10" s="1027">
        <v>150</v>
      </c>
      <c r="I10" s="392" t="s">
        <v>58</v>
      </c>
      <c r="J10" s="393" t="s">
        <v>58</v>
      </c>
      <c r="K10" s="975"/>
      <c r="L10" s="901"/>
      <c r="M10" s="901"/>
      <c r="N10" s="901"/>
      <c r="O10" s="901"/>
      <c r="P10" s="901"/>
      <c r="Q10" s="901"/>
      <c r="R10" s="901"/>
      <c r="S10" s="901"/>
    </row>
    <row r="11" spans="1:19" ht="20.100000000000001" customHeight="1" thickBot="1" x14ac:dyDescent="0.35">
      <c r="A11" s="178"/>
      <c r="B11" s="189" t="s">
        <v>82</v>
      </c>
      <c r="C11" s="175">
        <f t="shared" ref="C11:G11" si="0">SUM(C9:C10)</f>
        <v>100</v>
      </c>
      <c r="D11" s="190">
        <f t="shared" si="0"/>
        <v>0</v>
      </c>
      <c r="E11" s="175">
        <f t="shared" si="0"/>
        <v>100</v>
      </c>
      <c r="F11" s="191">
        <f t="shared" si="0"/>
        <v>52.46</v>
      </c>
      <c r="G11" s="191">
        <f t="shared" si="0"/>
        <v>0</v>
      </c>
      <c r="H11" s="979">
        <f>SUM(H9:H10)</f>
        <v>250</v>
      </c>
      <c r="I11" s="172">
        <f>+H11/E11*100</f>
        <v>250</v>
      </c>
      <c r="J11" s="173">
        <f>H11/F11*100</f>
        <v>476.55356462066339</v>
      </c>
      <c r="K11" s="975"/>
      <c r="L11" s="19"/>
      <c r="M11" s="19"/>
      <c r="N11" s="19"/>
      <c r="O11" s="19"/>
      <c r="P11" s="19"/>
      <c r="Q11" s="19"/>
      <c r="R11" s="19"/>
      <c r="S11" s="19"/>
    </row>
    <row r="13" spans="1:19" x14ac:dyDescent="0.3">
      <c r="C13" s="3"/>
      <c r="E13" s="3"/>
      <c r="H13" s="3"/>
      <c r="I13" s="888"/>
    </row>
    <row r="14" spans="1:19" x14ac:dyDescent="0.3">
      <c r="C14" s="3"/>
      <c r="E14" s="3"/>
      <c r="H14" s="3"/>
    </row>
    <row r="17" spans="2:2" ht="15.6" x14ac:dyDescent="0.3">
      <c r="B17" s="19"/>
    </row>
  </sheetData>
  <sortState xmlns:xlrd2="http://schemas.microsoft.com/office/spreadsheetml/2017/richdata2" ref="A9:D9">
    <sortCondition ref="A9"/>
  </sortState>
  <mergeCells count="8">
    <mergeCell ref="J6:J7"/>
    <mergeCell ref="H6:H7"/>
    <mergeCell ref="A2:K2"/>
    <mergeCell ref="A6:A7"/>
    <mergeCell ref="B6:B7"/>
    <mergeCell ref="C6:D6"/>
    <mergeCell ref="E6:G6"/>
    <mergeCell ref="I6:I7"/>
  </mergeCells>
  <pageMargins left="0.70866141732283472" right="0.70866141732283472" top="0.78740157480314965" bottom="0.78740157480314965" header="0.31496062992125984" footer="0.31496062992125984"/>
  <pageSetup paperSize="9" scale="51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L107"/>
  <sheetViews>
    <sheetView workbookViewId="0">
      <selection activeCell="C1" sqref="C1"/>
    </sheetView>
  </sheetViews>
  <sheetFormatPr defaultColWidth="9.109375" defaultRowHeight="13.8" x14ac:dyDescent="0.3"/>
  <cols>
    <col min="1" max="1" width="7.6640625" style="66" customWidth="1"/>
    <col min="2" max="2" width="6.6640625" style="1" customWidth="1"/>
    <col min="3" max="3" width="40.6640625" style="1" customWidth="1"/>
    <col min="4" max="4" width="14.6640625" style="2" customWidth="1"/>
    <col min="5" max="5" width="14.6640625" style="3" customWidth="1"/>
    <col min="6" max="6" width="14.6640625" style="2" customWidth="1"/>
    <col min="7" max="7" width="16.33203125" style="3" customWidth="1"/>
    <col min="8" max="8" width="14.6640625" style="3" customWidth="1"/>
    <col min="9" max="9" width="14.6640625" style="697" customWidth="1"/>
    <col min="10" max="10" width="10.33203125" style="5" customWidth="1"/>
    <col min="11" max="11" width="10" style="5" customWidth="1"/>
    <col min="12" max="16384" width="9.109375" style="1"/>
  </cols>
  <sheetData>
    <row r="1" spans="1:11" ht="14.4" x14ac:dyDescent="0.3">
      <c r="C1" s="1" t="s">
        <v>574</v>
      </c>
      <c r="K1" s="6"/>
    </row>
    <row r="2" spans="1:11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</row>
    <row r="3" spans="1:11" ht="15" customHeight="1" x14ac:dyDescent="0.3"/>
    <row r="4" spans="1:11" ht="20.100000000000001" customHeight="1" x14ac:dyDescent="0.3">
      <c r="A4" s="67" t="s">
        <v>150</v>
      </c>
      <c r="J4" s="8"/>
    </row>
    <row r="5" spans="1:11" ht="15" customHeight="1" thickBot="1" x14ac:dyDescent="0.35">
      <c r="A5" s="67"/>
      <c r="K5" s="8" t="s">
        <v>0</v>
      </c>
    </row>
    <row r="6" spans="1:11" s="62" customFormat="1" ht="15.9" customHeight="1" x14ac:dyDescent="0.2">
      <c r="A6" s="1159" t="s">
        <v>85</v>
      </c>
      <c r="B6" s="1165" t="s">
        <v>97</v>
      </c>
      <c r="C6" s="1166"/>
      <c r="D6" s="1060" t="s">
        <v>402</v>
      </c>
      <c r="E6" s="1061"/>
      <c r="F6" s="1060" t="s">
        <v>450</v>
      </c>
      <c r="G6" s="1064"/>
      <c r="H6" s="1061"/>
      <c r="I6" s="1169" t="s">
        <v>507</v>
      </c>
      <c r="J6" s="1161" t="s">
        <v>508</v>
      </c>
      <c r="K6" s="1163" t="s">
        <v>509</v>
      </c>
    </row>
    <row r="7" spans="1:11" s="62" customFormat="1" ht="30.9" customHeight="1" thickBot="1" x14ac:dyDescent="0.25">
      <c r="A7" s="1160"/>
      <c r="B7" s="1167"/>
      <c r="C7" s="1168"/>
      <c r="D7" s="236" t="s">
        <v>103</v>
      </c>
      <c r="E7" s="835" t="s">
        <v>520</v>
      </c>
      <c r="F7" s="236" t="s">
        <v>103</v>
      </c>
      <c r="G7" s="237" t="s">
        <v>556</v>
      </c>
      <c r="H7" s="238" t="s">
        <v>555</v>
      </c>
      <c r="I7" s="1170"/>
      <c r="J7" s="1162"/>
      <c r="K7" s="1164"/>
    </row>
    <row r="8" spans="1:11" s="9" customFormat="1" ht="20.100000000000001" customHeight="1" thickBot="1" x14ac:dyDescent="0.35">
      <c r="A8" s="100"/>
      <c r="B8" s="10" t="s">
        <v>98</v>
      </c>
      <c r="C8" s="10"/>
      <c r="D8" s="11"/>
      <c r="E8" s="12"/>
      <c r="F8" s="11"/>
      <c r="G8" s="13"/>
      <c r="H8" s="13"/>
      <c r="I8" s="239"/>
      <c r="J8" s="16"/>
      <c r="K8" s="16"/>
    </row>
    <row r="9" spans="1:11" s="447" customFormat="1" ht="30" customHeight="1" x14ac:dyDescent="0.3">
      <c r="A9" s="1259">
        <v>4312</v>
      </c>
      <c r="B9" s="1186" t="s">
        <v>151</v>
      </c>
      <c r="C9" s="1258"/>
      <c r="D9" s="776">
        <f>SUM(D10:D13)</f>
        <v>19050</v>
      </c>
      <c r="E9" s="777">
        <f t="shared" ref="E9:I9" si="0">SUM(E10:E13)</f>
        <v>14512.35</v>
      </c>
      <c r="F9" s="776">
        <f t="shared" si="0"/>
        <v>16305</v>
      </c>
      <c r="G9" s="490">
        <f t="shared" si="0"/>
        <v>21400.43</v>
      </c>
      <c r="H9" s="437">
        <f t="shared" si="0"/>
        <v>14097.220000000001</v>
      </c>
      <c r="I9" s="1025">
        <f t="shared" si="0"/>
        <v>24337</v>
      </c>
      <c r="J9" s="462">
        <f t="shared" ref="J9:J38" si="1">I9/F9*100</f>
        <v>149.26096289481754</v>
      </c>
      <c r="K9" s="463">
        <f t="shared" ref="K9:K38" si="2">I9/G9*100</f>
        <v>113.72201399691502</v>
      </c>
    </row>
    <row r="10" spans="1:11" ht="15" customHeight="1" x14ac:dyDescent="0.3">
      <c r="A10" s="1185"/>
      <c r="B10" s="1260" t="s">
        <v>92</v>
      </c>
      <c r="C10" s="573" t="s">
        <v>124</v>
      </c>
      <c r="D10" s="363">
        <v>5500</v>
      </c>
      <c r="E10" s="362">
        <v>4259</v>
      </c>
      <c r="F10" s="363">
        <v>5419</v>
      </c>
      <c r="G10" s="753">
        <v>6171</v>
      </c>
      <c r="H10" s="118">
        <v>6171</v>
      </c>
      <c r="I10" s="1028">
        <v>6341</v>
      </c>
      <c r="J10" s="364">
        <f>I10/F10*100</f>
        <v>117.01420926370179</v>
      </c>
      <c r="K10" s="365">
        <f>I10/G10*100</f>
        <v>102.75482093663912</v>
      </c>
    </row>
    <row r="11" spans="1:11" ht="15" customHeight="1" x14ac:dyDescent="0.3">
      <c r="A11" s="1185"/>
      <c r="B11" s="1261"/>
      <c r="C11" s="498" t="s">
        <v>346</v>
      </c>
      <c r="D11" s="363">
        <v>12900</v>
      </c>
      <c r="E11" s="362">
        <v>9837.25</v>
      </c>
      <c r="F11" s="363">
        <v>10611</v>
      </c>
      <c r="G11" s="753">
        <v>14957.43</v>
      </c>
      <c r="H11" s="118">
        <v>7836.22</v>
      </c>
      <c r="I11" s="1028">
        <v>17787</v>
      </c>
      <c r="J11" s="364">
        <f>I11/F11*100</f>
        <v>167.62793327678824</v>
      </c>
      <c r="K11" s="365">
        <f>I11/G11*100</f>
        <v>118.91748783046285</v>
      </c>
    </row>
    <row r="12" spans="1:11" ht="15" customHeight="1" x14ac:dyDescent="0.3">
      <c r="A12" s="1185"/>
      <c r="B12" s="1261"/>
      <c r="C12" s="573" t="s">
        <v>125</v>
      </c>
      <c r="D12" s="363">
        <v>50</v>
      </c>
      <c r="E12" s="362">
        <v>9</v>
      </c>
      <c r="F12" s="363">
        <v>11</v>
      </c>
      <c r="G12" s="367">
        <v>8</v>
      </c>
      <c r="H12" s="362">
        <v>8</v>
      </c>
      <c r="I12" s="1029">
        <v>11</v>
      </c>
      <c r="J12" s="364">
        <f>I12/F12*100</f>
        <v>100</v>
      </c>
      <c r="K12" s="365">
        <f>I12/G12*100</f>
        <v>137.5</v>
      </c>
    </row>
    <row r="13" spans="1:11" ht="15" customHeight="1" x14ac:dyDescent="0.3">
      <c r="A13" s="1185"/>
      <c r="B13" s="1261"/>
      <c r="C13" s="565" t="s">
        <v>378</v>
      </c>
      <c r="D13" s="82">
        <v>600</v>
      </c>
      <c r="E13" s="81">
        <v>407.1</v>
      </c>
      <c r="F13" s="82">
        <v>264</v>
      </c>
      <c r="G13" s="753">
        <v>264</v>
      </c>
      <c r="H13" s="118">
        <v>82</v>
      </c>
      <c r="I13" s="1028">
        <v>198</v>
      </c>
      <c r="J13" s="364">
        <f t="shared" si="1"/>
        <v>75</v>
      </c>
      <c r="K13" s="365">
        <f t="shared" si="2"/>
        <v>75</v>
      </c>
    </row>
    <row r="14" spans="1:11" s="447" customFormat="1" ht="28.5" customHeight="1" x14ac:dyDescent="0.3">
      <c r="A14" s="434">
        <v>4339</v>
      </c>
      <c r="B14" s="1188" t="s">
        <v>152</v>
      </c>
      <c r="C14" s="1189"/>
      <c r="D14" s="464">
        <v>400</v>
      </c>
      <c r="E14" s="473">
        <v>110.89</v>
      </c>
      <c r="F14" s="464">
        <v>400</v>
      </c>
      <c r="G14" s="828">
        <v>400</v>
      </c>
      <c r="H14" s="939">
        <v>49</v>
      </c>
      <c r="I14" s="1030">
        <v>400</v>
      </c>
      <c r="J14" s="468">
        <f t="shared" si="1"/>
        <v>100</v>
      </c>
      <c r="K14" s="469">
        <f t="shared" si="2"/>
        <v>100</v>
      </c>
    </row>
    <row r="15" spans="1:11" s="447" customFormat="1" ht="57.75" customHeight="1" x14ac:dyDescent="0.3">
      <c r="A15" s="434">
        <v>4339</v>
      </c>
      <c r="B15" s="1188" t="s">
        <v>498</v>
      </c>
      <c r="C15" s="1189"/>
      <c r="D15" s="471">
        <v>0</v>
      </c>
      <c r="E15" s="472">
        <v>0</v>
      </c>
      <c r="F15" s="471">
        <v>5000</v>
      </c>
      <c r="G15" s="828">
        <v>5000</v>
      </c>
      <c r="H15" s="939">
        <v>0</v>
      </c>
      <c r="I15" s="1030">
        <v>5000</v>
      </c>
      <c r="J15" s="468">
        <f t="shared" si="1"/>
        <v>100</v>
      </c>
      <c r="K15" s="469">
        <f t="shared" si="2"/>
        <v>100</v>
      </c>
    </row>
    <row r="16" spans="1:11" s="447" customFormat="1" ht="30" customHeight="1" x14ac:dyDescent="0.3">
      <c r="A16" s="470">
        <v>4342</v>
      </c>
      <c r="B16" s="1256" t="s">
        <v>373</v>
      </c>
      <c r="C16" s="1257"/>
      <c r="D16" s="471">
        <v>100</v>
      </c>
      <c r="E16" s="472">
        <v>42.62</v>
      </c>
      <c r="F16" s="471">
        <v>100</v>
      </c>
      <c r="G16" s="828">
        <v>100</v>
      </c>
      <c r="H16" s="939">
        <v>0</v>
      </c>
      <c r="I16" s="1030">
        <v>100</v>
      </c>
      <c r="J16" s="468">
        <f t="shared" si="1"/>
        <v>100</v>
      </c>
      <c r="K16" s="469">
        <f t="shared" si="2"/>
        <v>100</v>
      </c>
    </row>
    <row r="17" spans="1:11" s="447" customFormat="1" ht="30" customHeight="1" x14ac:dyDescent="0.3">
      <c r="A17" s="1184">
        <v>4344</v>
      </c>
      <c r="B17" s="1188" t="s">
        <v>153</v>
      </c>
      <c r="C17" s="1189"/>
      <c r="D17" s="471">
        <f>SUM(D18:D21)</f>
        <v>150</v>
      </c>
      <c r="E17" s="472">
        <f t="shared" ref="E17:I17" si="3">SUM(E18:E21)</f>
        <v>100</v>
      </c>
      <c r="F17" s="471">
        <f t="shared" si="3"/>
        <v>131</v>
      </c>
      <c r="G17" s="828">
        <f t="shared" si="3"/>
        <v>154</v>
      </c>
      <c r="H17" s="939">
        <f t="shared" si="3"/>
        <v>150</v>
      </c>
      <c r="I17" s="1030">
        <f t="shared" si="3"/>
        <v>157</v>
      </c>
      <c r="J17" s="547">
        <f t="shared" si="1"/>
        <v>119.84732824427482</v>
      </c>
      <c r="K17" s="548">
        <f t="shared" si="2"/>
        <v>101.94805194805194</v>
      </c>
    </row>
    <row r="18" spans="1:11" ht="15" customHeight="1" x14ac:dyDescent="0.3">
      <c r="A18" s="1185"/>
      <c r="B18" s="1253" t="s">
        <v>92</v>
      </c>
      <c r="C18" s="573" t="s">
        <v>124</v>
      </c>
      <c r="D18" s="361">
        <v>0</v>
      </c>
      <c r="E18" s="549">
        <v>0</v>
      </c>
      <c r="F18" s="361">
        <v>0</v>
      </c>
      <c r="G18" s="360">
        <v>0</v>
      </c>
      <c r="H18" s="549">
        <v>0</v>
      </c>
      <c r="I18" s="1023">
        <v>0</v>
      </c>
      <c r="J18" s="364" t="s">
        <v>58</v>
      </c>
      <c r="K18" s="365" t="s">
        <v>58</v>
      </c>
    </row>
    <row r="19" spans="1:11" ht="15" customHeight="1" x14ac:dyDescent="0.3">
      <c r="A19" s="1185"/>
      <c r="B19" s="1254"/>
      <c r="C19" s="498" t="s">
        <v>346</v>
      </c>
      <c r="D19" s="366">
        <v>140</v>
      </c>
      <c r="E19" s="362">
        <v>100</v>
      </c>
      <c r="F19" s="366">
        <v>127</v>
      </c>
      <c r="G19" s="753">
        <v>150</v>
      </c>
      <c r="H19" s="118">
        <v>150</v>
      </c>
      <c r="I19" s="1028">
        <v>154</v>
      </c>
      <c r="J19" s="364">
        <f>I19/F19*100</f>
        <v>121.25984251968505</v>
      </c>
      <c r="K19" s="365">
        <f>I19/G19*100</f>
        <v>102.66666666666666</v>
      </c>
    </row>
    <row r="20" spans="1:11" ht="15" customHeight="1" x14ac:dyDescent="0.3">
      <c r="A20" s="1185"/>
      <c r="B20" s="1254"/>
      <c r="C20" s="573" t="s">
        <v>125</v>
      </c>
      <c r="D20" s="366">
        <v>0</v>
      </c>
      <c r="E20" s="362">
        <v>0</v>
      </c>
      <c r="F20" s="366">
        <v>0</v>
      </c>
      <c r="G20" s="367">
        <v>0</v>
      </c>
      <c r="H20" s="362">
        <v>0</v>
      </c>
      <c r="I20" s="1031">
        <v>0</v>
      </c>
      <c r="J20" s="364" t="s">
        <v>58</v>
      </c>
      <c r="K20" s="365" t="s">
        <v>58</v>
      </c>
    </row>
    <row r="21" spans="1:11" ht="15" customHeight="1" x14ac:dyDescent="0.3">
      <c r="A21" s="1185"/>
      <c r="B21" s="1255"/>
      <c r="C21" s="565" t="s">
        <v>378</v>
      </c>
      <c r="D21" s="82">
        <v>10</v>
      </c>
      <c r="E21" s="81">
        <v>0</v>
      </c>
      <c r="F21" s="82">
        <v>4</v>
      </c>
      <c r="G21" s="753">
        <v>4</v>
      </c>
      <c r="H21" s="118">
        <v>0</v>
      </c>
      <c r="I21" s="1028">
        <v>3</v>
      </c>
      <c r="J21" s="364">
        <f t="shared" si="1"/>
        <v>75</v>
      </c>
      <c r="K21" s="365">
        <f>I21/G21*100</f>
        <v>75</v>
      </c>
    </row>
    <row r="22" spans="1:11" s="447" customFormat="1" ht="30" customHeight="1" x14ac:dyDescent="0.3">
      <c r="A22" s="470">
        <v>4349</v>
      </c>
      <c r="B22" s="1256" t="s">
        <v>454</v>
      </c>
      <c r="C22" s="1257"/>
      <c r="D22" s="471">
        <v>300</v>
      </c>
      <c r="E22" s="472">
        <v>88.52</v>
      </c>
      <c r="F22" s="471">
        <v>300</v>
      </c>
      <c r="G22" s="828">
        <v>300</v>
      </c>
      <c r="H22" s="939">
        <v>31.42</v>
      </c>
      <c r="I22" s="1030">
        <v>300</v>
      </c>
      <c r="J22" s="547">
        <f t="shared" si="1"/>
        <v>100</v>
      </c>
      <c r="K22" s="548">
        <f t="shared" si="2"/>
        <v>100</v>
      </c>
    </row>
    <row r="23" spans="1:11" s="447" customFormat="1" ht="32.25" customHeight="1" x14ac:dyDescent="0.3">
      <c r="A23" s="1184">
        <v>4350</v>
      </c>
      <c r="B23" s="1188" t="s">
        <v>154</v>
      </c>
      <c r="C23" s="1189"/>
      <c r="D23" s="471">
        <f>SUM(D24:D27)</f>
        <v>227790</v>
      </c>
      <c r="E23" s="472">
        <f t="shared" ref="E23:I23" si="4">SUM(E24:E27)</f>
        <v>151501</v>
      </c>
      <c r="F23" s="464">
        <f t="shared" si="4"/>
        <v>201906</v>
      </c>
      <c r="G23" s="474">
        <f t="shared" si="4"/>
        <v>220898.96</v>
      </c>
      <c r="H23" s="473">
        <f t="shared" si="4"/>
        <v>180670.33</v>
      </c>
      <c r="I23" s="1024">
        <f t="shared" si="4"/>
        <v>222061</v>
      </c>
      <c r="J23" s="547">
        <f t="shared" si="1"/>
        <v>109.98236803264885</v>
      </c>
      <c r="K23" s="548">
        <f t="shared" si="2"/>
        <v>100.52605046216605</v>
      </c>
    </row>
    <row r="24" spans="1:11" ht="15" customHeight="1" x14ac:dyDescent="0.3">
      <c r="A24" s="1185"/>
      <c r="B24" s="1253" t="s">
        <v>92</v>
      </c>
      <c r="C24" s="573" t="s">
        <v>124</v>
      </c>
      <c r="D24" s="366">
        <v>51100</v>
      </c>
      <c r="E24" s="362">
        <v>38274.43</v>
      </c>
      <c r="F24" s="366">
        <v>47738</v>
      </c>
      <c r="G24" s="753">
        <v>47738</v>
      </c>
      <c r="H24" s="118">
        <v>40807.75</v>
      </c>
      <c r="I24" s="1028">
        <v>49053</v>
      </c>
      <c r="J24" s="364">
        <f>I24/F24*100</f>
        <v>102.75461896183333</v>
      </c>
      <c r="K24" s="365">
        <f>I24/G24*100</f>
        <v>102.75461896183333</v>
      </c>
    </row>
    <row r="25" spans="1:11" ht="15" customHeight="1" x14ac:dyDescent="0.3">
      <c r="A25" s="1185"/>
      <c r="B25" s="1254"/>
      <c r="C25" s="498" t="s">
        <v>346</v>
      </c>
      <c r="D25" s="366">
        <v>114700</v>
      </c>
      <c r="E25" s="362">
        <v>89548.55</v>
      </c>
      <c r="F25" s="366">
        <v>113935</v>
      </c>
      <c r="G25" s="753">
        <v>134191.67999999999</v>
      </c>
      <c r="H25" s="118">
        <v>121493.18</v>
      </c>
      <c r="I25" s="1028">
        <v>137888</v>
      </c>
      <c r="J25" s="364">
        <f>I25/F25*100</f>
        <v>121.02339052968799</v>
      </c>
      <c r="K25" s="365">
        <f>I25/G25*100</f>
        <v>102.75450758199018</v>
      </c>
    </row>
    <row r="26" spans="1:11" ht="15" customHeight="1" x14ac:dyDescent="0.3">
      <c r="A26" s="1185"/>
      <c r="B26" s="1254"/>
      <c r="C26" s="573" t="s">
        <v>125</v>
      </c>
      <c r="D26" s="366">
        <v>11700</v>
      </c>
      <c r="E26" s="362">
        <v>13479.78</v>
      </c>
      <c r="F26" s="366">
        <v>18119</v>
      </c>
      <c r="G26" s="753">
        <v>16967.28</v>
      </c>
      <c r="H26" s="118">
        <v>10311.4</v>
      </c>
      <c r="I26" s="1028">
        <v>18618</v>
      </c>
      <c r="J26" s="364">
        <f>I26/F26*100</f>
        <v>102.75401512224735</v>
      </c>
      <c r="K26" s="365">
        <f>I26/G26*100</f>
        <v>109.72884280803996</v>
      </c>
    </row>
    <row r="27" spans="1:11" ht="15" customHeight="1" x14ac:dyDescent="0.3">
      <c r="A27" s="1185"/>
      <c r="B27" s="1255"/>
      <c r="C27" s="565" t="s">
        <v>378</v>
      </c>
      <c r="D27" s="82">
        <v>50290</v>
      </c>
      <c r="E27" s="81">
        <v>10198.24</v>
      </c>
      <c r="F27" s="82">
        <v>22114</v>
      </c>
      <c r="G27" s="753">
        <v>22002</v>
      </c>
      <c r="H27" s="118">
        <v>8058</v>
      </c>
      <c r="I27" s="1028">
        <v>16502</v>
      </c>
      <c r="J27" s="364">
        <f t="shared" si="1"/>
        <v>74.62241114226282</v>
      </c>
      <c r="K27" s="365">
        <f t="shared" si="2"/>
        <v>75.002272520679938</v>
      </c>
    </row>
    <row r="28" spans="1:11" s="447" customFormat="1" ht="46.5" customHeight="1" x14ac:dyDescent="0.3">
      <c r="A28" s="1184">
        <v>4351</v>
      </c>
      <c r="B28" s="1188" t="s">
        <v>155</v>
      </c>
      <c r="C28" s="1189"/>
      <c r="D28" s="464">
        <f>SUM(D29:D32)</f>
        <v>3115</v>
      </c>
      <c r="E28" s="473">
        <f t="shared" ref="E28:I28" si="5">SUM(E29:E32)</f>
        <v>4864.0499999999993</v>
      </c>
      <c r="F28" s="464">
        <f t="shared" si="5"/>
        <v>5107</v>
      </c>
      <c r="G28" s="474">
        <f t="shared" si="5"/>
        <v>3849</v>
      </c>
      <c r="H28" s="473">
        <f t="shared" si="5"/>
        <v>3737</v>
      </c>
      <c r="I28" s="1024">
        <f t="shared" si="5"/>
        <v>3980</v>
      </c>
      <c r="J28" s="468">
        <f t="shared" si="1"/>
        <v>77.93224985314275</v>
      </c>
      <c r="K28" s="469">
        <f t="shared" si="2"/>
        <v>103.40348142374643</v>
      </c>
    </row>
    <row r="29" spans="1:11" ht="15" customHeight="1" x14ac:dyDescent="0.3">
      <c r="A29" s="1185"/>
      <c r="B29" s="1253" t="s">
        <v>92</v>
      </c>
      <c r="C29" s="573" t="s">
        <v>124</v>
      </c>
      <c r="D29" s="366">
        <v>280</v>
      </c>
      <c r="E29" s="362">
        <v>191.23</v>
      </c>
      <c r="F29" s="366">
        <v>243</v>
      </c>
      <c r="G29" s="753">
        <v>500</v>
      </c>
      <c r="H29" s="118">
        <v>500</v>
      </c>
      <c r="I29" s="1028">
        <v>514</v>
      </c>
      <c r="J29" s="364">
        <f>I29/F29*100</f>
        <v>211.52263374485597</v>
      </c>
      <c r="K29" s="365">
        <f>I29/G29*100</f>
        <v>102.8</v>
      </c>
    </row>
    <row r="30" spans="1:11" ht="15" customHeight="1" x14ac:dyDescent="0.3">
      <c r="A30" s="1185"/>
      <c r="B30" s="1254"/>
      <c r="C30" s="498" t="s">
        <v>346</v>
      </c>
      <c r="D30" s="366">
        <v>2560</v>
      </c>
      <c r="E30" s="362">
        <v>4622.82</v>
      </c>
      <c r="F30" s="366">
        <v>4688</v>
      </c>
      <c r="G30" s="753">
        <v>3227</v>
      </c>
      <c r="H30" s="118">
        <v>3227</v>
      </c>
      <c r="I30" s="1028">
        <v>3316</v>
      </c>
      <c r="J30" s="364">
        <f>I30/F30*100</f>
        <v>70.73378839590444</v>
      </c>
      <c r="K30" s="365">
        <f>I30/G30*100</f>
        <v>102.7579795475674</v>
      </c>
    </row>
    <row r="31" spans="1:11" ht="15" customHeight="1" x14ac:dyDescent="0.3">
      <c r="A31" s="1185"/>
      <c r="B31" s="1254"/>
      <c r="C31" s="573" t="s">
        <v>125</v>
      </c>
      <c r="D31" s="366">
        <v>20</v>
      </c>
      <c r="E31" s="362">
        <v>50</v>
      </c>
      <c r="F31" s="366">
        <v>64</v>
      </c>
      <c r="G31" s="753">
        <v>10</v>
      </c>
      <c r="H31" s="118">
        <v>10</v>
      </c>
      <c r="I31" s="1028">
        <v>66</v>
      </c>
      <c r="J31" s="364">
        <f>I31/F31*100</f>
        <v>103.125</v>
      </c>
      <c r="K31" s="365">
        <f>I31/G31*100</f>
        <v>660</v>
      </c>
    </row>
    <row r="32" spans="1:11" ht="15" customHeight="1" x14ac:dyDescent="0.3">
      <c r="A32" s="1185"/>
      <c r="B32" s="1254"/>
      <c r="C32" s="565" t="s">
        <v>378</v>
      </c>
      <c r="D32" s="82">
        <v>255</v>
      </c>
      <c r="E32" s="81">
        <v>0</v>
      </c>
      <c r="F32" s="82">
        <v>112</v>
      </c>
      <c r="G32" s="753">
        <v>112</v>
      </c>
      <c r="H32" s="118">
        <v>0</v>
      </c>
      <c r="I32" s="1028">
        <v>84</v>
      </c>
      <c r="J32" s="364">
        <f t="shared" si="1"/>
        <v>75</v>
      </c>
      <c r="K32" s="365">
        <f t="shared" si="2"/>
        <v>75</v>
      </c>
    </row>
    <row r="33" spans="1:11" s="447" customFormat="1" ht="30.75" customHeight="1" x14ac:dyDescent="0.3">
      <c r="A33" s="1184">
        <v>4354</v>
      </c>
      <c r="B33" s="1188" t="s">
        <v>156</v>
      </c>
      <c r="C33" s="1189"/>
      <c r="D33" s="464">
        <f>SUM(D34:D37)</f>
        <v>20570</v>
      </c>
      <c r="E33" s="473">
        <f t="shared" ref="E33:I33" si="6">SUM(E34:E37)</f>
        <v>16440.87</v>
      </c>
      <c r="F33" s="464">
        <f t="shared" si="6"/>
        <v>21703</v>
      </c>
      <c r="G33" s="474">
        <f t="shared" si="6"/>
        <v>19748.25</v>
      </c>
      <c r="H33" s="473">
        <f t="shared" si="6"/>
        <v>18739.25</v>
      </c>
      <c r="I33" s="1024">
        <f t="shared" si="6"/>
        <v>23084</v>
      </c>
      <c r="J33" s="468">
        <f t="shared" si="1"/>
        <v>106.36317559784361</v>
      </c>
      <c r="K33" s="469">
        <f t="shared" si="2"/>
        <v>116.89137012140316</v>
      </c>
    </row>
    <row r="34" spans="1:11" ht="15" customHeight="1" x14ac:dyDescent="0.3">
      <c r="A34" s="1185"/>
      <c r="B34" s="1253" t="s">
        <v>92</v>
      </c>
      <c r="C34" s="573" t="s">
        <v>124</v>
      </c>
      <c r="D34" s="366">
        <v>2400</v>
      </c>
      <c r="E34" s="362">
        <v>2930</v>
      </c>
      <c r="F34" s="366">
        <v>3728</v>
      </c>
      <c r="G34" s="753">
        <v>1178</v>
      </c>
      <c r="H34" s="118">
        <v>1178</v>
      </c>
      <c r="I34" s="1028">
        <v>3397</v>
      </c>
      <c r="J34" s="364">
        <f>I34/F34*100</f>
        <v>91.121244635193136</v>
      </c>
      <c r="K34" s="365">
        <f>I34/G34*100</f>
        <v>288.37011884550083</v>
      </c>
    </row>
    <row r="35" spans="1:11" ht="15" customHeight="1" x14ac:dyDescent="0.3">
      <c r="A35" s="1185"/>
      <c r="B35" s="1254"/>
      <c r="C35" s="498" t="s">
        <v>346</v>
      </c>
      <c r="D35" s="366">
        <v>14900</v>
      </c>
      <c r="E35" s="362">
        <v>12326.77</v>
      </c>
      <c r="F35" s="366">
        <v>15621</v>
      </c>
      <c r="G35" s="753">
        <v>17125.25</v>
      </c>
      <c r="H35" s="118">
        <v>17125.25</v>
      </c>
      <c r="I35" s="1028">
        <v>17597</v>
      </c>
      <c r="J35" s="364">
        <f>I35/F35*100</f>
        <v>112.64963830740669</v>
      </c>
      <c r="K35" s="365">
        <f>I35/G35*100</f>
        <v>102.75470431088598</v>
      </c>
    </row>
    <row r="36" spans="1:11" ht="15" customHeight="1" x14ac:dyDescent="0.3">
      <c r="A36" s="1185"/>
      <c r="B36" s="1254"/>
      <c r="C36" s="573" t="s">
        <v>125</v>
      </c>
      <c r="D36" s="366">
        <v>580</v>
      </c>
      <c r="E36" s="362">
        <v>920</v>
      </c>
      <c r="F36" s="366">
        <v>1171</v>
      </c>
      <c r="G36" s="753">
        <v>262</v>
      </c>
      <c r="H36" s="118">
        <v>262</v>
      </c>
      <c r="I36" s="1028">
        <v>1203</v>
      </c>
      <c r="J36" s="364">
        <f>I36/F36*100</f>
        <v>102.73270708795901</v>
      </c>
      <c r="K36" s="365">
        <f>I36/G36*100</f>
        <v>459.16030534351142</v>
      </c>
    </row>
    <row r="37" spans="1:11" ht="15" customHeight="1" x14ac:dyDescent="0.3">
      <c r="A37" s="1185"/>
      <c r="B37" s="1254"/>
      <c r="C37" s="565" t="s">
        <v>378</v>
      </c>
      <c r="D37" s="82">
        <v>2690</v>
      </c>
      <c r="E37" s="81">
        <v>264.10000000000002</v>
      </c>
      <c r="F37" s="82">
        <v>1183</v>
      </c>
      <c r="G37" s="753">
        <v>1183</v>
      </c>
      <c r="H37" s="118">
        <v>174</v>
      </c>
      <c r="I37" s="1028">
        <v>887</v>
      </c>
      <c r="J37" s="364">
        <f t="shared" si="1"/>
        <v>74.978867286559591</v>
      </c>
      <c r="K37" s="365">
        <f t="shared" si="2"/>
        <v>74.978867286559591</v>
      </c>
    </row>
    <row r="38" spans="1:11" s="447" customFormat="1" ht="30.75" customHeight="1" x14ac:dyDescent="0.3">
      <c r="A38" s="1184">
        <v>4355</v>
      </c>
      <c r="B38" s="1188" t="s">
        <v>157</v>
      </c>
      <c r="C38" s="1189"/>
      <c r="D38" s="471">
        <f>SUM(D39:D42)</f>
        <v>4510</v>
      </c>
      <c r="E38" s="472">
        <f t="shared" ref="E38:I38" si="7">SUM(E39:E42)</f>
        <v>3717.8</v>
      </c>
      <c r="F38" s="464">
        <f t="shared" si="7"/>
        <v>5012</v>
      </c>
      <c r="G38" s="474">
        <f t="shared" si="7"/>
        <v>4752.6000000000004</v>
      </c>
      <c r="H38" s="473">
        <f t="shared" si="7"/>
        <v>2835</v>
      </c>
      <c r="I38" s="1024">
        <f t="shared" si="7"/>
        <v>4739</v>
      </c>
      <c r="J38" s="468">
        <f t="shared" si="1"/>
        <v>94.55307262569832</v>
      </c>
      <c r="K38" s="469">
        <f t="shared" si="2"/>
        <v>99.713840845011148</v>
      </c>
    </row>
    <row r="39" spans="1:11" ht="15" customHeight="1" x14ac:dyDescent="0.3">
      <c r="A39" s="1185"/>
      <c r="B39" s="1253" t="s">
        <v>92</v>
      </c>
      <c r="C39" s="573" t="s">
        <v>124</v>
      </c>
      <c r="D39" s="366">
        <v>1400</v>
      </c>
      <c r="E39" s="362">
        <v>308</v>
      </c>
      <c r="F39" s="366">
        <v>392</v>
      </c>
      <c r="G39" s="753">
        <v>1050</v>
      </c>
      <c r="H39" s="118">
        <v>1050</v>
      </c>
      <c r="I39" s="1028">
        <v>1079</v>
      </c>
      <c r="J39" s="364">
        <f>I39/F39*100</f>
        <v>275.25510204081633</v>
      </c>
      <c r="K39" s="365">
        <f>I39/G39*100</f>
        <v>102.76190476190476</v>
      </c>
    </row>
    <row r="40" spans="1:11" ht="15" customHeight="1" x14ac:dyDescent="0.3">
      <c r="A40" s="1185"/>
      <c r="B40" s="1254"/>
      <c r="C40" s="498" t="s">
        <v>346</v>
      </c>
      <c r="D40" s="366">
        <v>1930</v>
      </c>
      <c r="E40" s="362">
        <v>3222.9</v>
      </c>
      <c r="F40" s="366">
        <v>4101</v>
      </c>
      <c r="G40" s="753">
        <v>3183.6</v>
      </c>
      <c r="H40" s="118">
        <v>1785</v>
      </c>
      <c r="I40" s="1028">
        <v>3271</v>
      </c>
      <c r="J40" s="364">
        <f>I40/F40*100</f>
        <v>79.761033894172158</v>
      </c>
      <c r="K40" s="365">
        <f>I40/G40*100</f>
        <v>102.74531976378942</v>
      </c>
    </row>
    <row r="41" spans="1:11" ht="15" customHeight="1" x14ac:dyDescent="0.3">
      <c r="A41" s="1185"/>
      <c r="B41" s="1254"/>
      <c r="C41" s="573" t="s">
        <v>125</v>
      </c>
      <c r="D41" s="366">
        <v>0</v>
      </c>
      <c r="E41" s="362">
        <v>0</v>
      </c>
      <c r="F41" s="366">
        <v>0</v>
      </c>
      <c r="G41" s="753">
        <v>0</v>
      </c>
      <c r="H41" s="118">
        <v>0</v>
      </c>
      <c r="I41" s="1028">
        <v>0</v>
      </c>
      <c r="J41" s="364" t="s">
        <v>58</v>
      </c>
      <c r="K41" s="365" t="s">
        <v>58</v>
      </c>
    </row>
    <row r="42" spans="1:11" ht="15" customHeight="1" x14ac:dyDescent="0.3">
      <c r="A42" s="1185"/>
      <c r="B42" s="1254"/>
      <c r="C42" s="565" t="s">
        <v>378</v>
      </c>
      <c r="D42" s="82">
        <v>1180</v>
      </c>
      <c r="E42" s="81">
        <v>186.9</v>
      </c>
      <c r="F42" s="82">
        <v>519</v>
      </c>
      <c r="G42" s="753">
        <v>519</v>
      </c>
      <c r="H42" s="118">
        <v>0</v>
      </c>
      <c r="I42" s="1028">
        <v>389</v>
      </c>
      <c r="J42" s="364">
        <f t="shared" ref="J42:J69" si="8">I42/F42*100</f>
        <v>74.951830443159935</v>
      </c>
      <c r="K42" s="365">
        <f t="shared" ref="K42:K69" si="9">I42/G42*100</f>
        <v>74.951830443159935</v>
      </c>
    </row>
    <row r="43" spans="1:11" s="447" customFormat="1" ht="33.75" customHeight="1" x14ac:dyDescent="0.3">
      <c r="A43" s="1184">
        <v>4356</v>
      </c>
      <c r="B43" s="1188" t="s">
        <v>158</v>
      </c>
      <c r="C43" s="1189"/>
      <c r="D43" s="471">
        <f>SUM(D44:D47)</f>
        <v>6060</v>
      </c>
      <c r="E43" s="472">
        <f t="shared" ref="E43:I43" si="10">SUM(E44:E47)</f>
        <v>2962.4800000000005</v>
      </c>
      <c r="F43" s="464">
        <f t="shared" si="10"/>
        <v>3037</v>
      </c>
      <c r="G43" s="474">
        <f t="shared" si="10"/>
        <v>4898.95</v>
      </c>
      <c r="H43" s="473">
        <f t="shared" si="10"/>
        <v>4476.95</v>
      </c>
      <c r="I43" s="1024">
        <f t="shared" si="10"/>
        <v>4917</v>
      </c>
      <c r="J43" s="468">
        <f t="shared" si="8"/>
        <v>161.90319394138953</v>
      </c>
      <c r="K43" s="469">
        <f t="shared" si="9"/>
        <v>100.36844629971728</v>
      </c>
    </row>
    <row r="44" spans="1:11" ht="15" customHeight="1" x14ac:dyDescent="0.3">
      <c r="A44" s="1185"/>
      <c r="B44" s="1253" t="s">
        <v>92</v>
      </c>
      <c r="C44" s="573" t="s">
        <v>124</v>
      </c>
      <c r="D44" s="366">
        <v>1200</v>
      </c>
      <c r="E44" s="362">
        <v>647.85</v>
      </c>
      <c r="F44" s="366">
        <v>379</v>
      </c>
      <c r="G44" s="753">
        <v>677</v>
      </c>
      <c r="H44" s="118">
        <v>677</v>
      </c>
      <c r="I44" s="1028">
        <v>696</v>
      </c>
      <c r="J44" s="364">
        <f>I44/F44*100</f>
        <v>183.64116094986807</v>
      </c>
      <c r="K44" s="365">
        <f>I44/G44*100</f>
        <v>102.80649926144756</v>
      </c>
    </row>
    <row r="45" spans="1:11" ht="15" customHeight="1" x14ac:dyDescent="0.3">
      <c r="A45" s="1185"/>
      <c r="B45" s="1254"/>
      <c r="C45" s="498" t="s">
        <v>346</v>
      </c>
      <c r="D45" s="366">
        <v>3900</v>
      </c>
      <c r="E45" s="362">
        <v>1757.43</v>
      </c>
      <c r="F45" s="366">
        <v>2236</v>
      </c>
      <c r="G45" s="753">
        <v>3799.95</v>
      </c>
      <c r="H45" s="118">
        <v>3799.95</v>
      </c>
      <c r="I45" s="1028">
        <v>3905</v>
      </c>
      <c r="J45" s="364">
        <f>I45/F45*100</f>
        <v>174.64221824686942</v>
      </c>
      <c r="K45" s="365">
        <f>I45/G45*100</f>
        <v>102.76451005934288</v>
      </c>
    </row>
    <row r="46" spans="1:11" ht="15" customHeight="1" x14ac:dyDescent="0.3">
      <c r="A46" s="1185"/>
      <c r="B46" s="1254"/>
      <c r="C46" s="573" t="s">
        <v>125</v>
      </c>
      <c r="D46" s="366">
        <v>0</v>
      </c>
      <c r="E46" s="362">
        <v>0</v>
      </c>
      <c r="F46" s="366">
        <v>0</v>
      </c>
      <c r="G46" s="753">
        <v>0</v>
      </c>
      <c r="H46" s="118">
        <v>0</v>
      </c>
      <c r="I46" s="1028">
        <v>0</v>
      </c>
      <c r="J46" s="364" t="s">
        <v>58</v>
      </c>
      <c r="K46" s="365" t="s">
        <v>58</v>
      </c>
    </row>
    <row r="47" spans="1:11" ht="15" customHeight="1" x14ac:dyDescent="0.3">
      <c r="A47" s="1185"/>
      <c r="B47" s="1254"/>
      <c r="C47" s="565" t="s">
        <v>378</v>
      </c>
      <c r="D47" s="82">
        <v>960</v>
      </c>
      <c r="E47" s="81">
        <v>557.20000000000005</v>
      </c>
      <c r="F47" s="82">
        <v>422</v>
      </c>
      <c r="G47" s="753">
        <v>422</v>
      </c>
      <c r="H47" s="118">
        <v>0</v>
      </c>
      <c r="I47" s="1028">
        <v>316</v>
      </c>
      <c r="J47" s="364">
        <f t="shared" si="8"/>
        <v>74.881516587677723</v>
      </c>
      <c r="K47" s="365">
        <f t="shared" si="9"/>
        <v>74.881516587677723</v>
      </c>
    </row>
    <row r="48" spans="1:11" s="447" customFormat="1" ht="49.5" customHeight="1" x14ac:dyDescent="0.3">
      <c r="A48" s="1184">
        <v>4357</v>
      </c>
      <c r="B48" s="1188" t="s">
        <v>159</v>
      </c>
      <c r="C48" s="1189"/>
      <c r="D48" s="464">
        <f>SUM(D49:D52)</f>
        <v>190840</v>
      </c>
      <c r="E48" s="473">
        <f t="shared" ref="E48:I48" si="11">SUM(E49:E52)</f>
        <v>165991.72</v>
      </c>
      <c r="F48" s="464">
        <f t="shared" si="11"/>
        <v>211648</v>
      </c>
      <c r="G48" s="398">
        <f t="shared" si="11"/>
        <v>227572.65</v>
      </c>
      <c r="H48" s="399">
        <f t="shared" si="11"/>
        <v>195979.41</v>
      </c>
      <c r="I48" s="1024">
        <f t="shared" si="11"/>
        <v>229728</v>
      </c>
      <c r="J48" s="468">
        <f t="shared" si="8"/>
        <v>108.54248563652857</v>
      </c>
      <c r="K48" s="469">
        <f t="shared" si="9"/>
        <v>100.94710414454462</v>
      </c>
    </row>
    <row r="49" spans="1:11" ht="15" customHeight="1" x14ac:dyDescent="0.3">
      <c r="A49" s="1185"/>
      <c r="B49" s="1253" t="s">
        <v>92</v>
      </c>
      <c r="C49" s="573" t="s">
        <v>124</v>
      </c>
      <c r="D49" s="366">
        <v>39900</v>
      </c>
      <c r="E49" s="362">
        <v>31349.81</v>
      </c>
      <c r="F49" s="366">
        <v>38696</v>
      </c>
      <c r="G49" s="753">
        <v>38286</v>
      </c>
      <c r="H49" s="118">
        <v>24831.85</v>
      </c>
      <c r="I49" s="1028">
        <v>39341</v>
      </c>
      <c r="J49" s="364">
        <f>I49/F49*100</f>
        <v>101.66683894976225</v>
      </c>
      <c r="K49" s="365">
        <f>I49/G49*100</f>
        <v>102.75557645092202</v>
      </c>
    </row>
    <row r="50" spans="1:11" ht="15" customHeight="1" x14ac:dyDescent="0.3">
      <c r="A50" s="1185"/>
      <c r="B50" s="1254"/>
      <c r="C50" s="498" t="s">
        <v>346</v>
      </c>
      <c r="D50" s="366">
        <v>108440</v>
      </c>
      <c r="E50" s="362">
        <v>109436.91</v>
      </c>
      <c r="F50" s="366">
        <v>136994</v>
      </c>
      <c r="G50" s="753">
        <v>153428.65</v>
      </c>
      <c r="H50" s="118">
        <v>145460.29999999999</v>
      </c>
      <c r="I50" s="1028">
        <v>157655</v>
      </c>
      <c r="J50" s="364">
        <f>I50/F50*100</f>
        <v>115.08168240944858</v>
      </c>
      <c r="K50" s="365">
        <f>I50/G50*100</f>
        <v>102.75460287241008</v>
      </c>
    </row>
    <row r="51" spans="1:11" ht="15" customHeight="1" x14ac:dyDescent="0.3">
      <c r="A51" s="1185"/>
      <c r="B51" s="1254"/>
      <c r="C51" s="573" t="s">
        <v>125</v>
      </c>
      <c r="D51" s="366">
        <v>8800</v>
      </c>
      <c r="E51" s="362">
        <v>17199</v>
      </c>
      <c r="F51" s="366">
        <v>21139</v>
      </c>
      <c r="G51" s="753">
        <v>21039</v>
      </c>
      <c r="H51" s="118">
        <v>18621.599999999999</v>
      </c>
      <c r="I51" s="1028">
        <v>21618</v>
      </c>
      <c r="J51" s="364">
        <f>I51/F51*100</f>
        <v>102.26595392402669</v>
      </c>
      <c r="K51" s="365">
        <f>I51/G51*100</f>
        <v>102.75203194068159</v>
      </c>
    </row>
    <row r="52" spans="1:11" ht="15" customHeight="1" x14ac:dyDescent="0.3">
      <c r="A52" s="1185"/>
      <c r="B52" s="1254"/>
      <c r="C52" s="565" t="s">
        <v>378</v>
      </c>
      <c r="D52" s="82">
        <v>33700</v>
      </c>
      <c r="E52" s="81">
        <v>8006</v>
      </c>
      <c r="F52" s="82">
        <v>14819</v>
      </c>
      <c r="G52" s="753">
        <v>14819</v>
      </c>
      <c r="H52" s="118">
        <v>7065.66</v>
      </c>
      <c r="I52" s="1028">
        <v>11114</v>
      </c>
      <c r="J52" s="364">
        <f t="shared" si="8"/>
        <v>74.998312976584117</v>
      </c>
      <c r="K52" s="365">
        <f t="shared" si="9"/>
        <v>74.998312976584117</v>
      </c>
    </row>
    <row r="53" spans="1:11" s="447" customFormat="1" ht="31.5" customHeight="1" x14ac:dyDescent="0.3">
      <c r="A53" s="1184">
        <v>4359</v>
      </c>
      <c r="B53" s="1188" t="s">
        <v>244</v>
      </c>
      <c r="C53" s="1189"/>
      <c r="D53" s="464">
        <f>SUM(D54:D57)</f>
        <v>4330</v>
      </c>
      <c r="E53" s="473">
        <f t="shared" ref="E53:I53" si="12">SUM(E54:E57)</f>
        <v>2465.48</v>
      </c>
      <c r="F53" s="464">
        <f t="shared" si="12"/>
        <v>3322</v>
      </c>
      <c r="G53" s="828">
        <f t="shared" si="12"/>
        <v>3665.34</v>
      </c>
      <c r="H53" s="939">
        <f t="shared" si="12"/>
        <v>3480.34</v>
      </c>
      <c r="I53" s="1030">
        <f t="shared" si="12"/>
        <v>3714</v>
      </c>
      <c r="J53" s="468">
        <f t="shared" si="8"/>
        <v>111.80012040939194</v>
      </c>
      <c r="K53" s="469">
        <f t="shared" si="9"/>
        <v>101.32757124850626</v>
      </c>
    </row>
    <row r="54" spans="1:11" ht="15" customHeight="1" x14ac:dyDescent="0.3">
      <c r="A54" s="1185"/>
      <c r="B54" s="1253" t="s">
        <v>92</v>
      </c>
      <c r="C54" s="573" t="s">
        <v>124</v>
      </c>
      <c r="D54" s="366">
        <v>900</v>
      </c>
      <c r="E54" s="362">
        <v>184.83</v>
      </c>
      <c r="F54" s="366">
        <v>235</v>
      </c>
      <c r="G54" s="753">
        <v>469.5</v>
      </c>
      <c r="H54" s="118">
        <v>469.5</v>
      </c>
      <c r="I54" s="1028">
        <v>482</v>
      </c>
      <c r="J54" s="364">
        <f>I54/F54*100</f>
        <v>205.10638297872342</v>
      </c>
      <c r="K54" s="365">
        <f>I54/G54*100</f>
        <v>102.66240681576144</v>
      </c>
    </row>
    <row r="55" spans="1:11" ht="15" customHeight="1" x14ac:dyDescent="0.3">
      <c r="A55" s="1185"/>
      <c r="B55" s="1254"/>
      <c r="C55" s="498" t="s">
        <v>346</v>
      </c>
      <c r="D55" s="366">
        <v>3000</v>
      </c>
      <c r="E55" s="362">
        <v>2273.6</v>
      </c>
      <c r="F55" s="366">
        <v>2893</v>
      </c>
      <c r="G55" s="753">
        <v>3000.84</v>
      </c>
      <c r="H55" s="118">
        <v>3000.84</v>
      </c>
      <c r="I55" s="1028">
        <v>3083</v>
      </c>
      <c r="J55" s="364">
        <f>I55/F55*100</f>
        <v>106.56757690978222</v>
      </c>
      <c r="K55" s="365">
        <f>I55/G55*100</f>
        <v>102.73790005465135</v>
      </c>
    </row>
    <row r="56" spans="1:11" ht="15" customHeight="1" x14ac:dyDescent="0.3">
      <c r="A56" s="1185"/>
      <c r="B56" s="1254"/>
      <c r="C56" s="573" t="s">
        <v>125</v>
      </c>
      <c r="D56" s="366">
        <v>10</v>
      </c>
      <c r="E56" s="362">
        <v>7.05</v>
      </c>
      <c r="F56" s="366">
        <v>9</v>
      </c>
      <c r="G56" s="753">
        <v>10</v>
      </c>
      <c r="H56" s="118">
        <v>10</v>
      </c>
      <c r="I56" s="1028">
        <v>10</v>
      </c>
      <c r="J56" s="364">
        <f>I56/F56*100</f>
        <v>111.11111111111111</v>
      </c>
      <c r="K56" s="365">
        <f>I56/G56*100</f>
        <v>100</v>
      </c>
    </row>
    <row r="57" spans="1:11" ht="15" customHeight="1" x14ac:dyDescent="0.3">
      <c r="A57" s="1185"/>
      <c r="B57" s="1254"/>
      <c r="C57" s="565" t="s">
        <v>378</v>
      </c>
      <c r="D57" s="82">
        <v>420</v>
      </c>
      <c r="E57" s="81">
        <v>0</v>
      </c>
      <c r="F57" s="82">
        <v>185</v>
      </c>
      <c r="G57" s="753">
        <v>185</v>
      </c>
      <c r="H57" s="118">
        <v>0</v>
      </c>
      <c r="I57" s="1028">
        <v>139</v>
      </c>
      <c r="J57" s="364">
        <f t="shared" si="8"/>
        <v>75.13513513513513</v>
      </c>
      <c r="K57" s="365">
        <f t="shared" si="9"/>
        <v>75.13513513513513</v>
      </c>
    </row>
    <row r="58" spans="1:11" s="447" customFormat="1" ht="34.5" customHeight="1" x14ac:dyDescent="0.3">
      <c r="A58" s="434">
        <v>4369</v>
      </c>
      <c r="B58" s="1188" t="s">
        <v>160</v>
      </c>
      <c r="C58" s="1189"/>
      <c r="D58" s="464">
        <v>200</v>
      </c>
      <c r="E58" s="473">
        <v>0</v>
      </c>
      <c r="F58" s="464">
        <v>200</v>
      </c>
      <c r="G58" s="828">
        <v>200</v>
      </c>
      <c r="H58" s="939">
        <v>0</v>
      </c>
      <c r="I58" s="1030">
        <v>200</v>
      </c>
      <c r="J58" s="468">
        <f t="shared" si="8"/>
        <v>100</v>
      </c>
      <c r="K58" s="469">
        <f t="shared" si="9"/>
        <v>100</v>
      </c>
    </row>
    <row r="59" spans="1:11" s="447" customFormat="1" ht="48" customHeight="1" x14ac:dyDescent="0.3">
      <c r="A59" s="1184">
        <v>4374</v>
      </c>
      <c r="B59" s="1188" t="s">
        <v>245</v>
      </c>
      <c r="C59" s="1189"/>
      <c r="D59" s="471">
        <f>SUM(D60:D63)</f>
        <v>2195</v>
      </c>
      <c r="E59" s="472">
        <f t="shared" ref="E59:I59" si="13">SUM(E60:E63)</f>
        <v>1877.88</v>
      </c>
      <c r="F59" s="464">
        <f t="shared" si="13"/>
        <v>2382</v>
      </c>
      <c r="G59" s="474">
        <f t="shared" si="13"/>
        <v>2011.56</v>
      </c>
      <c r="H59" s="473">
        <f t="shared" si="13"/>
        <v>2011.56</v>
      </c>
      <c r="I59" s="1024">
        <f t="shared" si="13"/>
        <v>2013</v>
      </c>
      <c r="J59" s="468">
        <f t="shared" si="8"/>
        <v>84.508816120906801</v>
      </c>
      <c r="K59" s="469">
        <f t="shared" si="9"/>
        <v>100.07158623158145</v>
      </c>
    </row>
    <row r="60" spans="1:11" ht="15" customHeight="1" x14ac:dyDescent="0.3">
      <c r="A60" s="1185"/>
      <c r="B60" s="1253" t="s">
        <v>92</v>
      </c>
      <c r="C60" s="573" t="s">
        <v>124</v>
      </c>
      <c r="D60" s="366">
        <v>400</v>
      </c>
      <c r="E60" s="362">
        <v>537.38</v>
      </c>
      <c r="F60" s="366">
        <v>684</v>
      </c>
      <c r="G60" s="753">
        <v>139</v>
      </c>
      <c r="H60" s="118">
        <v>139</v>
      </c>
      <c r="I60" s="1028">
        <v>143</v>
      </c>
      <c r="J60" s="364">
        <f>I60/F60*100</f>
        <v>20.906432748538013</v>
      </c>
      <c r="K60" s="365">
        <f>I60/G60*100</f>
        <v>102.87769784172663</v>
      </c>
    </row>
    <row r="61" spans="1:11" ht="15" customHeight="1" x14ac:dyDescent="0.3">
      <c r="A61" s="1185"/>
      <c r="B61" s="1254"/>
      <c r="C61" s="498" t="s">
        <v>346</v>
      </c>
      <c r="D61" s="366">
        <v>1600</v>
      </c>
      <c r="E61" s="362">
        <v>1267</v>
      </c>
      <c r="F61" s="366">
        <v>1612</v>
      </c>
      <c r="G61" s="753">
        <v>1576.56</v>
      </c>
      <c r="H61" s="118">
        <v>1576.56</v>
      </c>
      <c r="I61" s="1028">
        <v>1620</v>
      </c>
      <c r="J61" s="364">
        <f>I61/F61*100</f>
        <v>100.49627791563276</v>
      </c>
      <c r="K61" s="365">
        <f>I61/G61*100</f>
        <v>102.75536611356371</v>
      </c>
    </row>
    <row r="62" spans="1:11" ht="15" customHeight="1" x14ac:dyDescent="0.3">
      <c r="A62" s="1185"/>
      <c r="B62" s="1254"/>
      <c r="C62" s="573" t="s">
        <v>125</v>
      </c>
      <c r="D62" s="366">
        <v>5</v>
      </c>
      <c r="E62" s="362">
        <v>2.5</v>
      </c>
      <c r="F62" s="366">
        <v>3</v>
      </c>
      <c r="G62" s="753">
        <v>101</v>
      </c>
      <c r="H62" s="118">
        <v>101</v>
      </c>
      <c r="I62" s="1028">
        <v>104</v>
      </c>
      <c r="J62" s="364">
        <f>I62/F62*100</f>
        <v>3466.6666666666665</v>
      </c>
      <c r="K62" s="365">
        <f>I62/G62*100</f>
        <v>102.97029702970298</v>
      </c>
    </row>
    <row r="63" spans="1:11" ht="15" customHeight="1" x14ac:dyDescent="0.3">
      <c r="A63" s="1185"/>
      <c r="B63" s="1254"/>
      <c r="C63" s="565" t="s">
        <v>378</v>
      </c>
      <c r="D63" s="82">
        <v>190</v>
      </c>
      <c r="E63" s="81">
        <v>71</v>
      </c>
      <c r="F63" s="82">
        <v>83</v>
      </c>
      <c r="G63" s="753">
        <v>195</v>
      </c>
      <c r="H63" s="118">
        <v>195</v>
      </c>
      <c r="I63" s="1028">
        <v>146</v>
      </c>
      <c r="J63" s="364">
        <f t="shared" si="8"/>
        <v>175.90361445783131</v>
      </c>
      <c r="K63" s="365">
        <f t="shared" si="9"/>
        <v>74.871794871794876</v>
      </c>
    </row>
    <row r="64" spans="1:11" s="447" customFormat="1" ht="47.25" customHeight="1" x14ac:dyDescent="0.3">
      <c r="A64" s="1184">
        <v>4376</v>
      </c>
      <c r="B64" s="1188" t="s">
        <v>161</v>
      </c>
      <c r="C64" s="1189"/>
      <c r="D64" s="464">
        <f>SUM(D65:D68)</f>
        <v>3860</v>
      </c>
      <c r="E64" s="473">
        <f t="shared" ref="E64:I64" si="14">SUM(E65:E68)</f>
        <v>2898.4</v>
      </c>
      <c r="F64" s="464">
        <f t="shared" si="14"/>
        <v>2617</v>
      </c>
      <c r="G64" s="474">
        <f t="shared" si="14"/>
        <v>4144</v>
      </c>
      <c r="H64" s="473">
        <f t="shared" si="14"/>
        <v>4047</v>
      </c>
      <c r="I64" s="1024">
        <f t="shared" si="14"/>
        <v>4235</v>
      </c>
      <c r="J64" s="468">
        <f t="shared" si="8"/>
        <v>161.82651891478793</v>
      </c>
      <c r="K64" s="469">
        <f t="shared" si="9"/>
        <v>102.19594594594594</v>
      </c>
    </row>
    <row r="65" spans="1:11" ht="15" customHeight="1" x14ac:dyDescent="0.3">
      <c r="A65" s="1185"/>
      <c r="B65" s="1253" t="s">
        <v>92</v>
      </c>
      <c r="C65" s="573" t="s">
        <v>124</v>
      </c>
      <c r="D65" s="366">
        <v>1100</v>
      </c>
      <c r="E65" s="362">
        <v>692</v>
      </c>
      <c r="F65" s="366">
        <v>881</v>
      </c>
      <c r="G65" s="753">
        <v>306</v>
      </c>
      <c r="H65" s="118">
        <v>306</v>
      </c>
      <c r="I65" s="1028">
        <v>314</v>
      </c>
      <c r="J65" s="364">
        <f>I65/F65*100</f>
        <v>35.641316685584563</v>
      </c>
      <c r="K65" s="365">
        <f>I65/G65*100</f>
        <v>102.61437908496731</v>
      </c>
    </row>
    <row r="66" spans="1:11" ht="15" customHeight="1" x14ac:dyDescent="0.3">
      <c r="A66" s="1185"/>
      <c r="B66" s="1254"/>
      <c r="C66" s="498" t="s">
        <v>346</v>
      </c>
      <c r="D66" s="366">
        <v>2500</v>
      </c>
      <c r="E66" s="362">
        <v>1983.5</v>
      </c>
      <c r="F66" s="366">
        <v>1633</v>
      </c>
      <c r="G66" s="753">
        <v>3739</v>
      </c>
      <c r="H66" s="118">
        <v>3739</v>
      </c>
      <c r="I66" s="1028">
        <v>3842</v>
      </c>
      <c r="J66" s="364">
        <f>I66/F66*100</f>
        <v>235.27250459277403</v>
      </c>
      <c r="K66" s="365">
        <f>I66/G66*100</f>
        <v>102.7547472586253</v>
      </c>
    </row>
    <row r="67" spans="1:11" ht="15" customHeight="1" x14ac:dyDescent="0.3">
      <c r="A67" s="1185"/>
      <c r="B67" s="1254"/>
      <c r="C67" s="573" t="s">
        <v>125</v>
      </c>
      <c r="D67" s="366">
        <v>40</v>
      </c>
      <c r="E67" s="362">
        <v>5</v>
      </c>
      <c r="F67" s="366">
        <v>6</v>
      </c>
      <c r="G67" s="753">
        <v>2</v>
      </c>
      <c r="H67" s="118">
        <v>2</v>
      </c>
      <c r="I67" s="1028">
        <v>6</v>
      </c>
      <c r="J67" s="364">
        <f>I67/F67*100</f>
        <v>100</v>
      </c>
      <c r="K67" s="365">
        <f>I67/G67*100</f>
        <v>300</v>
      </c>
    </row>
    <row r="68" spans="1:11" ht="15" customHeight="1" x14ac:dyDescent="0.3">
      <c r="A68" s="1185"/>
      <c r="B68" s="1254"/>
      <c r="C68" s="565" t="s">
        <v>378</v>
      </c>
      <c r="D68" s="82">
        <v>220</v>
      </c>
      <c r="E68" s="81">
        <v>217.9</v>
      </c>
      <c r="F68" s="82">
        <v>97</v>
      </c>
      <c r="G68" s="753">
        <v>97</v>
      </c>
      <c r="H68" s="118">
        <v>0</v>
      </c>
      <c r="I68" s="1028">
        <v>73</v>
      </c>
      <c r="J68" s="364">
        <f t="shared" si="8"/>
        <v>75.257731958762889</v>
      </c>
      <c r="K68" s="365">
        <f t="shared" si="9"/>
        <v>75.257731958762889</v>
      </c>
    </row>
    <row r="69" spans="1:11" s="447" customFormat="1" ht="30" customHeight="1" x14ac:dyDescent="0.3">
      <c r="A69" s="1184">
        <v>4377</v>
      </c>
      <c r="B69" s="1188" t="s">
        <v>162</v>
      </c>
      <c r="C69" s="1189"/>
      <c r="D69" s="464">
        <f>SUM(D70:D73)</f>
        <v>2230</v>
      </c>
      <c r="E69" s="473">
        <f t="shared" ref="E69:I69" si="15">SUM(E70:E73)</f>
        <v>1523.07</v>
      </c>
      <c r="F69" s="464">
        <f t="shared" si="15"/>
        <v>2013</v>
      </c>
      <c r="G69" s="474">
        <f t="shared" si="15"/>
        <v>1353.06</v>
      </c>
      <c r="H69" s="473">
        <f t="shared" si="15"/>
        <v>1208.06</v>
      </c>
      <c r="I69" s="1024">
        <f t="shared" si="15"/>
        <v>1776</v>
      </c>
      <c r="J69" s="468">
        <f t="shared" si="8"/>
        <v>88.22652757078987</v>
      </c>
      <c r="K69" s="469">
        <f t="shared" si="9"/>
        <v>131.25803733759037</v>
      </c>
    </row>
    <row r="70" spans="1:11" ht="15" customHeight="1" x14ac:dyDescent="0.3">
      <c r="A70" s="1185"/>
      <c r="B70" s="1253" t="s">
        <v>92</v>
      </c>
      <c r="C70" s="573" t="s">
        <v>124</v>
      </c>
      <c r="D70" s="366">
        <v>600</v>
      </c>
      <c r="E70" s="362">
        <v>600</v>
      </c>
      <c r="F70" s="366">
        <v>763</v>
      </c>
      <c r="G70" s="753">
        <v>349</v>
      </c>
      <c r="H70" s="118">
        <v>349</v>
      </c>
      <c r="I70" s="1028">
        <v>784</v>
      </c>
      <c r="J70" s="364">
        <f>I70/F70*100</f>
        <v>102.75229357798166</v>
      </c>
      <c r="K70" s="365">
        <f>I70/G70*100</f>
        <v>224.64183381088824</v>
      </c>
    </row>
    <row r="71" spans="1:11" ht="15" customHeight="1" x14ac:dyDescent="0.3">
      <c r="A71" s="1185"/>
      <c r="B71" s="1254"/>
      <c r="C71" s="498" t="s">
        <v>346</v>
      </c>
      <c r="D71" s="366">
        <v>1300</v>
      </c>
      <c r="E71" s="362">
        <v>868.77</v>
      </c>
      <c r="F71" s="366">
        <v>1105</v>
      </c>
      <c r="G71" s="753">
        <v>859.06</v>
      </c>
      <c r="H71" s="118">
        <v>859.06</v>
      </c>
      <c r="I71" s="1028">
        <v>883</v>
      </c>
      <c r="J71" s="364">
        <f>I71/F71*100</f>
        <v>79.909502262443439</v>
      </c>
      <c r="K71" s="365">
        <f>I71/G71*100</f>
        <v>102.786766931297</v>
      </c>
    </row>
    <row r="72" spans="1:11" ht="15" customHeight="1" x14ac:dyDescent="0.3">
      <c r="A72" s="1185"/>
      <c r="B72" s="1254"/>
      <c r="C72" s="573" t="s">
        <v>125</v>
      </c>
      <c r="D72" s="366">
        <v>0</v>
      </c>
      <c r="E72" s="362">
        <v>0</v>
      </c>
      <c r="F72" s="366">
        <v>0</v>
      </c>
      <c r="G72" s="753">
        <v>0</v>
      </c>
      <c r="H72" s="118">
        <v>0</v>
      </c>
      <c r="I72" s="1028">
        <v>0</v>
      </c>
      <c r="J72" s="364" t="s">
        <v>58</v>
      </c>
      <c r="K72" s="365" t="s">
        <v>58</v>
      </c>
    </row>
    <row r="73" spans="1:11" ht="15" customHeight="1" x14ac:dyDescent="0.3">
      <c r="A73" s="1185"/>
      <c r="B73" s="1254"/>
      <c r="C73" s="565" t="s">
        <v>378</v>
      </c>
      <c r="D73" s="82">
        <v>330</v>
      </c>
      <c r="E73" s="81">
        <v>54.3</v>
      </c>
      <c r="F73" s="82">
        <v>145</v>
      </c>
      <c r="G73" s="753">
        <v>145</v>
      </c>
      <c r="H73" s="118">
        <v>0</v>
      </c>
      <c r="I73" s="1028">
        <v>109</v>
      </c>
      <c r="J73" s="364">
        <f t="shared" ref="J73:J87" si="16">I73/F73*100</f>
        <v>75.172413793103445</v>
      </c>
      <c r="K73" s="365">
        <f t="shared" ref="K73:K91" si="17">I73/G73*100</f>
        <v>75.172413793103445</v>
      </c>
    </row>
    <row r="74" spans="1:11" s="447" customFormat="1" ht="31.5" customHeight="1" x14ac:dyDescent="0.3">
      <c r="A74" s="1184">
        <v>4378</v>
      </c>
      <c r="B74" s="1188" t="s">
        <v>163</v>
      </c>
      <c r="C74" s="1189"/>
      <c r="D74" s="464">
        <f>SUM(D75:D78)</f>
        <v>915</v>
      </c>
      <c r="E74" s="473">
        <f t="shared" ref="E74:I74" si="18">SUM(E75:E78)</f>
        <v>369</v>
      </c>
      <c r="F74" s="464">
        <f t="shared" si="18"/>
        <v>477</v>
      </c>
      <c r="G74" s="474">
        <f t="shared" si="18"/>
        <v>565</v>
      </c>
      <c r="H74" s="473">
        <f t="shared" si="18"/>
        <v>558</v>
      </c>
      <c r="I74" s="1024">
        <f t="shared" si="18"/>
        <v>579</v>
      </c>
      <c r="J74" s="468">
        <f t="shared" si="16"/>
        <v>121.38364779874213</v>
      </c>
      <c r="K74" s="469">
        <f t="shared" si="17"/>
        <v>102.4778761061947</v>
      </c>
    </row>
    <row r="75" spans="1:11" ht="15" customHeight="1" x14ac:dyDescent="0.3">
      <c r="A75" s="1185"/>
      <c r="B75" s="1253" t="s">
        <v>92</v>
      </c>
      <c r="C75" s="573" t="s">
        <v>124</v>
      </c>
      <c r="D75" s="366">
        <v>400</v>
      </c>
      <c r="E75" s="362">
        <v>150</v>
      </c>
      <c r="F75" s="366">
        <v>191</v>
      </c>
      <c r="G75" s="753">
        <v>86</v>
      </c>
      <c r="H75" s="118">
        <v>86</v>
      </c>
      <c r="I75" s="1028">
        <v>88</v>
      </c>
      <c r="J75" s="364">
        <f>I75/F75*100</f>
        <v>46.073298429319372</v>
      </c>
      <c r="K75" s="365">
        <f>I75/G75*100</f>
        <v>102.32558139534885</v>
      </c>
    </row>
    <row r="76" spans="1:11" ht="15" customHeight="1" x14ac:dyDescent="0.3">
      <c r="A76" s="1185"/>
      <c r="B76" s="1254"/>
      <c r="C76" s="498" t="s">
        <v>346</v>
      </c>
      <c r="D76" s="366">
        <v>450</v>
      </c>
      <c r="E76" s="362">
        <v>217</v>
      </c>
      <c r="F76" s="366">
        <v>276</v>
      </c>
      <c r="G76" s="753">
        <v>470</v>
      </c>
      <c r="H76" s="118">
        <v>470</v>
      </c>
      <c r="I76" s="1028">
        <v>483</v>
      </c>
      <c r="J76" s="364">
        <f>I76/F76*100</f>
        <v>175</v>
      </c>
      <c r="K76" s="365">
        <f>I76/G76*100</f>
        <v>102.76595744680851</v>
      </c>
    </row>
    <row r="77" spans="1:11" ht="15" customHeight="1" x14ac:dyDescent="0.3">
      <c r="A77" s="1185"/>
      <c r="B77" s="1254"/>
      <c r="C77" s="573" t="s">
        <v>125</v>
      </c>
      <c r="D77" s="366">
        <v>50</v>
      </c>
      <c r="E77" s="362">
        <v>2</v>
      </c>
      <c r="F77" s="366">
        <v>3</v>
      </c>
      <c r="G77" s="753">
        <v>2</v>
      </c>
      <c r="H77" s="118">
        <v>2</v>
      </c>
      <c r="I77" s="1028">
        <v>3</v>
      </c>
      <c r="J77" s="364">
        <f>I77/F77*100</f>
        <v>100</v>
      </c>
      <c r="K77" s="365">
        <f>I77/G77*100</f>
        <v>150</v>
      </c>
    </row>
    <row r="78" spans="1:11" ht="15" customHeight="1" x14ac:dyDescent="0.3">
      <c r="A78" s="1185"/>
      <c r="B78" s="1254"/>
      <c r="C78" s="565" t="s">
        <v>378</v>
      </c>
      <c r="D78" s="82">
        <v>15</v>
      </c>
      <c r="E78" s="81">
        <v>0</v>
      </c>
      <c r="F78" s="82">
        <v>7</v>
      </c>
      <c r="G78" s="753">
        <v>7</v>
      </c>
      <c r="H78" s="118">
        <v>0</v>
      </c>
      <c r="I78" s="1028">
        <v>5</v>
      </c>
      <c r="J78" s="364">
        <f t="shared" si="16"/>
        <v>71.428571428571431</v>
      </c>
      <c r="K78" s="365">
        <f t="shared" si="17"/>
        <v>71.428571428571431</v>
      </c>
    </row>
    <row r="79" spans="1:11" s="447" customFormat="1" ht="48" customHeight="1" x14ac:dyDescent="0.3">
      <c r="A79" s="1184">
        <v>4379</v>
      </c>
      <c r="B79" s="1188" t="s">
        <v>164</v>
      </c>
      <c r="C79" s="1189"/>
      <c r="D79" s="464">
        <f>SUM(D80:D83)</f>
        <v>1350</v>
      </c>
      <c r="E79" s="474">
        <f t="shared" ref="E79:I79" si="19">SUM(E80:E83)</f>
        <v>948.85</v>
      </c>
      <c r="F79" s="464">
        <f t="shared" si="19"/>
        <v>1305</v>
      </c>
      <c r="G79" s="467">
        <f t="shared" si="19"/>
        <v>1613</v>
      </c>
      <c r="H79" s="465">
        <f t="shared" si="19"/>
        <v>1567</v>
      </c>
      <c r="I79" s="1020">
        <f t="shared" si="19"/>
        <v>1645</v>
      </c>
      <c r="J79" s="468">
        <f t="shared" si="16"/>
        <v>126.05363984674329</v>
      </c>
      <c r="K79" s="469">
        <f t="shared" si="17"/>
        <v>101.98388096714197</v>
      </c>
    </row>
    <row r="80" spans="1:11" ht="15" customHeight="1" x14ac:dyDescent="0.3">
      <c r="A80" s="1185"/>
      <c r="B80" s="1253" t="s">
        <v>92</v>
      </c>
      <c r="C80" s="573" t="s">
        <v>124</v>
      </c>
      <c r="D80" s="366">
        <v>240</v>
      </c>
      <c r="E80" s="362">
        <v>261.7</v>
      </c>
      <c r="F80" s="366">
        <v>384</v>
      </c>
      <c r="G80" s="753">
        <v>242</v>
      </c>
      <c r="H80" s="118">
        <v>242</v>
      </c>
      <c r="I80" s="1028">
        <v>249</v>
      </c>
      <c r="J80" s="364">
        <f>I80/F80*100</f>
        <v>64.84375</v>
      </c>
      <c r="K80" s="365">
        <f>I80/G80*100</f>
        <v>102.89256198347107</v>
      </c>
    </row>
    <row r="81" spans="1:11" ht="15" customHeight="1" x14ac:dyDescent="0.3">
      <c r="A81" s="1185"/>
      <c r="B81" s="1254"/>
      <c r="C81" s="498" t="s">
        <v>346</v>
      </c>
      <c r="D81" s="366">
        <v>1000</v>
      </c>
      <c r="E81" s="362">
        <v>683</v>
      </c>
      <c r="F81" s="366">
        <v>869</v>
      </c>
      <c r="G81" s="753">
        <v>1318</v>
      </c>
      <c r="H81" s="118">
        <v>1318</v>
      </c>
      <c r="I81" s="1028">
        <v>1354</v>
      </c>
      <c r="J81" s="364">
        <f>I81/F81*100</f>
        <v>155.81127733026469</v>
      </c>
      <c r="K81" s="365">
        <f>I81/G81*100</f>
        <v>102.73141122913505</v>
      </c>
    </row>
    <row r="82" spans="1:11" ht="15" customHeight="1" x14ac:dyDescent="0.3">
      <c r="A82" s="1185"/>
      <c r="B82" s="1254"/>
      <c r="C82" s="573" t="s">
        <v>125</v>
      </c>
      <c r="D82" s="366">
        <v>5</v>
      </c>
      <c r="E82" s="362">
        <v>4.1500000000000004</v>
      </c>
      <c r="F82" s="366">
        <v>6</v>
      </c>
      <c r="G82" s="753">
        <v>7</v>
      </c>
      <c r="H82" s="118">
        <v>7</v>
      </c>
      <c r="I82" s="1028">
        <v>7</v>
      </c>
      <c r="J82" s="364">
        <f>I82/F82*100</f>
        <v>116.66666666666667</v>
      </c>
      <c r="K82" s="365">
        <f>I82/G82*100</f>
        <v>100</v>
      </c>
    </row>
    <row r="83" spans="1:11" ht="15" customHeight="1" x14ac:dyDescent="0.3">
      <c r="A83" s="1185"/>
      <c r="B83" s="1254"/>
      <c r="C83" s="565" t="s">
        <v>378</v>
      </c>
      <c r="D83" s="82">
        <v>105</v>
      </c>
      <c r="E83" s="81">
        <v>0</v>
      </c>
      <c r="F83" s="82">
        <v>46</v>
      </c>
      <c r="G83" s="753">
        <v>46</v>
      </c>
      <c r="H83" s="118">
        <v>0</v>
      </c>
      <c r="I83" s="1028">
        <v>35</v>
      </c>
      <c r="J83" s="364">
        <f t="shared" si="16"/>
        <v>76.08695652173914</v>
      </c>
      <c r="K83" s="365">
        <f t="shared" si="17"/>
        <v>76.08695652173914</v>
      </c>
    </row>
    <row r="84" spans="1:11" s="447" customFormat="1" ht="33.75" customHeight="1" x14ac:dyDescent="0.3">
      <c r="A84" s="695">
        <v>4399</v>
      </c>
      <c r="B84" s="1188" t="s">
        <v>165</v>
      </c>
      <c r="C84" s="1189"/>
      <c r="D84" s="464">
        <v>10300</v>
      </c>
      <c r="E84" s="473">
        <v>714.79</v>
      </c>
      <c r="F84" s="464">
        <v>10300</v>
      </c>
      <c r="G84" s="828">
        <v>11848.68</v>
      </c>
      <c r="H84" s="939">
        <v>1150.5899999999999</v>
      </c>
      <c r="I84" s="1030">
        <v>10300</v>
      </c>
      <c r="J84" s="468">
        <f t="shared" si="16"/>
        <v>100</v>
      </c>
      <c r="K84" s="469">
        <f t="shared" si="17"/>
        <v>86.929514511321088</v>
      </c>
    </row>
    <row r="85" spans="1:11" s="447" customFormat="1" ht="32.25" customHeight="1" x14ac:dyDescent="0.3">
      <c r="A85" s="434">
        <v>4399</v>
      </c>
      <c r="B85" s="1262" t="s">
        <v>166</v>
      </c>
      <c r="C85" s="1189"/>
      <c r="D85" s="466">
        <v>3500</v>
      </c>
      <c r="E85" s="465">
        <v>2534.5</v>
      </c>
      <c r="F85" s="466">
        <v>3500</v>
      </c>
      <c r="G85" s="828">
        <v>3500</v>
      </c>
      <c r="H85" s="939">
        <v>3233</v>
      </c>
      <c r="I85" s="1030">
        <v>3500</v>
      </c>
      <c r="J85" s="468">
        <f t="shared" si="16"/>
        <v>100</v>
      </c>
      <c r="K85" s="469">
        <f t="shared" si="17"/>
        <v>100</v>
      </c>
    </row>
    <row r="86" spans="1:11" s="447" customFormat="1" ht="32.25" customHeight="1" x14ac:dyDescent="0.3">
      <c r="A86" s="434">
        <v>4399</v>
      </c>
      <c r="B86" s="1262" t="s">
        <v>347</v>
      </c>
      <c r="C86" s="1189"/>
      <c r="D86" s="466">
        <v>3630</v>
      </c>
      <c r="E86" s="465">
        <v>3627.12</v>
      </c>
      <c r="F86" s="466">
        <v>3630</v>
      </c>
      <c r="G86" s="828">
        <v>3630</v>
      </c>
      <c r="H86" s="939">
        <v>1498.73</v>
      </c>
      <c r="I86" s="1030">
        <v>3630</v>
      </c>
      <c r="J86" s="468">
        <f t="shared" si="16"/>
        <v>100</v>
      </c>
      <c r="K86" s="469">
        <f t="shared" si="17"/>
        <v>100</v>
      </c>
    </row>
    <row r="87" spans="1:11" s="447" customFormat="1" ht="32.25" customHeight="1" x14ac:dyDescent="0.3">
      <c r="A87" s="434">
        <v>4399</v>
      </c>
      <c r="B87" s="1262" t="s">
        <v>396</v>
      </c>
      <c r="C87" s="1189"/>
      <c r="D87" s="466">
        <v>50</v>
      </c>
      <c r="E87" s="465">
        <v>0</v>
      </c>
      <c r="F87" s="466">
        <v>50</v>
      </c>
      <c r="G87" s="828">
        <v>50</v>
      </c>
      <c r="H87" s="939">
        <v>0</v>
      </c>
      <c r="I87" s="1030">
        <v>50</v>
      </c>
      <c r="J87" s="468">
        <f t="shared" si="16"/>
        <v>100</v>
      </c>
      <c r="K87" s="469">
        <f t="shared" si="17"/>
        <v>100</v>
      </c>
    </row>
    <row r="88" spans="1:11" s="447" customFormat="1" ht="32.25" customHeight="1" x14ac:dyDescent="0.3">
      <c r="A88" s="434">
        <v>4399</v>
      </c>
      <c r="B88" s="1262" t="s">
        <v>531</v>
      </c>
      <c r="C88" s="1189"/>
      <c r="D88" s="466">
        <v>0</v>
      </c>
      <c r="E88" s="465">
        <v>0</v>
      </c>
      <c r="F88" s="466">
        <v>0</v>
      </c>
      <c r="G88" s="828">
        <v>15000</v>
      </c>
      <c r="H88" s="939">
        <v>0</v>
      </c>
      <c r="I88" s="1030">
        <v>0</v>
      </c>
      <c r="J88" s="468" t="s">
        <v>58</v>
      </c>
      <c r="K88" s="469">
        <f t="shared" si="17"/>
        <v>0</v>
      </c>
    </row>
    <row r="89" spans="1:11" s="447" customFormat="1" ht="30.75" customHeight="1" x14ac:dyDescent="0.3">
      <c r="A89" s="695" t="s">
        <v>548</v>
      </c>
      <c r="B89" s="1188" t="s">
        <v>270</v>
      </c>
      <c r="C89" s="1189"/>
      <c r="D89" s="466">
        <v>0</v>
      </c>
      <c r="E89" s="467">
        <v>10957.2</v>
      </c>
      <c r="F89" s="466">
        <v>0</v>
      </c>
      <c r="G89" s="467">
        <v>15407.92</v>
      </c>
      <c r="H89" s="465">
        <v>13907.92</v>
      </c>
      <c r="I89" s="1020">
        <v>0</v>
      </c>
      <c r="J89" s="468" t="s">
        <v>58</v>
      </c>
      <c r="K89" s="469">
        <f>I89/G89*100</f>
        <v>0</v>
      </c>
    </row>
    <row r="90" spans="1:11" s="447" customFormat="1" ht="21.75" customHeight="1" x14ac:dyDescent="0.3">
      <c r="A90" s="434" t="s">
        <v>548</v>
      </c>
      <c r="B90" s="1262" t="s">
        <v>464</v>
      </c>
      <c r="C90" s="1189"/>
      <c r="D90" s="466">
        <v>0</v>
      </c>
      <c r="E90" s="465">
        <v>3947</v>
      </c>
      <c r="F90" s="466">
        <v>0</v>
      </c>
      <c r="G90" s="419">
        <v>13721.380000000001</v>
      </c>
      <c r="H90" s="426">
        <v>13721.380000000001</v>
      </c>
      <c r="I90" s="1020">
        <v>0</v>
      </c>
      <c r="J90" s="468" t="s">
        <v>58</v>
      </c>
      <c r="K90" s="469">
        <f t="shared" si="17"/>
        <v>0</v>
      </c>
    </row>
    <row r="91" spans="1:11" s="447" customFormat="1" ht="51" customHeight="1" x14ac:dyDescent="0.3">
      <c r="A91" s="434" t="s">
        <v>548</v>
      </c>
      <c r="B91" s="1262" t="s">
        <v>473</v>
      </c>
      <c r="C91" s="1189"/>
      <c r="D91" s="466">
        <v>0</v>
      </c>
      <c r="E91" s="465">
        <v>92583.220000000016</v>
      </c>
      <c r="F91" s="466">
        <v>0</v>
      </c>
      <c r="G91" s="467">
        <v>117878.08000000002</v>
      </c>
      <c r="H91" s="465">
        <v>117878.08000000002</v>
      </c>
      <c r="I91" s="1020">
        <v>0</v>
      </c>
      <c r="J91" s="468" t="s">
        <v>58</v>
      </c>
      <c r="K91" s="469">
        <f t="shared" si="17"/>
        <v>0</v>
      </c>
    </row>
    <row r="92" spans="1:11" s="447" customFormat="1" ht="20.100000000000001" customHeight="1" x14ac:dyDescent="0.3">
      <c r="A92" s="1269" t="s">
        <v>167</v>
      </c>
      <c r="B92" s="1192"/>
      <c r="C92" s="1189"/>
      <c r="D92" s="466">
        <f t="shared" ref="D92:H92" si="20">SUM(D93:D97)</f>
        <v>30000</v>
      </c>
      <c r="E92" s="465">
        <f t="shared" si="20"/>
        <v>17242.45</v>
      </c>
      <c r="F92" s="466">
        <f t="shared" si="20"/>
        <v>40000</v>
      </c>
      <c r="G92" s="467">
        <f t="shared" si="20"/>
        <v>26396.99</v>
      </c>
      <c r="H92" s="465">
        <f t="shared" si="20"/>
        <v>23779.94</v>
      </c>
      <c r="I92" s="1020">
        <f t="shared" ref="I92" si="21">SUM(I93:I97)</f>
        <v>50000</v>
      </c>
      <c r="J92" s="468">
        <f t="shared" ref="J92:J100" si="22">I92/F92*100</f>
        <v>125</v>
      </c>
      <c r="K92" s="469">
        <f t="shared" ref="K92:K100" si="23">I92/G92*100</f>
        <v>189.41553563493412</v>
      </c>
    </row>
    <row r="93" spans="1:11" s="65" customFormat="1" ht="20.100000000000001" customHeight="1" x14ac:dyDescent="0.3">
      <c r="A93" s="683">
        <v>4350</v>
      </c>
      <c r="B93" s="1267" t="s">
        <v>112</v>
      </c>
      <c r="C93" s="1268"/>
      <c r="D93" s="407">
        <v>0</v>
      </c>
      <c r="E93" s="406">
        <v>12938.19</v>
      </c>
      <c r="F93" s="407">
        <v>0</v>
      </c>
      <c r="G93" s="753">
        <v>16534.89</v>
      </c>
      <c r="H93" s="118">
        <v>14697.56</v>
      </c>
      <c r="I93" s="1032">
        <v>0</v>
      </c>
      <c r="J93" s="408" t="s">
        <v>58</v>
      </c>
      <c r="K93" s="409">
        <f t="shared" si="23"/>
        <v>0</v>
      </c>
    </row>
    <row r="94" spans="1:11" s="65" customFormat="1" ht="32.25" customHeight="1" x14ac:dyDescent="0.3">
      <c r="A94" s="683">
        <v>4357</v>
      </c>
      <c r="B94" s="1265" t="s">
        <v>180</v>
      </c>
      <c r="C94" s="1266"/>
      <c r="D94" s="407">
        <v>0</v>
      </c>
      <c r="E94" s="406">
        <v>4070.78</v>
      </c>
      <c r="F94" s="407">
        <v>0</v>
      </c>
      <c r="G94" s="753">
        <v>6590.47</v>
      </c>
      <c r="H94" s="118">
        <v>5899.08</v>
      </c>
      <c r="I94" s="1032">
        <v>0</v>
      </c>
      <c r="J94" s="408" t="s">
        <v>58</v>
      </c>
      <c r="K94" s="409">
        <f t="shared" si="23"/>
        <v>0</v>
      </c>
    </row>
    <row r="95" spans="1:11" s="65" customFormat="1" ht="32.25" customHeight="1" x14ac:dyDescent="0.3">
      <c r="A95" s="683">
        <v>4374</v>
      </c>
      <c r="B95" s="1265" t="s">
        <v>527</v>
      </c>
      <c r="C95" s="1266"/>
      <c r="D95" s="407">
        <v>0</v>
      </c>
      <c r="E95" s="406">
        <v>0</v>
      </c>
      <c r="F95" s="407">
        <v>0</v>
      </c>
      <c r="G95" s="753">
        <v>900</v>
      </c>
      <c r="H95" s="118">
        <v>900</v>
      </c>
      <c r="I95" s="1032">
        <v>0</v>
      </c>
      <c r="J95" s="408" t="s">
        <v>58</v>
      </c>
      <c r="K95" s="409">
        <f t="shared" si="23"/>
        <v>0</v>
      </c>
    </row>
    <row r="96" spans="1:11" s="65" customFormat="1" ht="32.25" customHeight="1" x14ac:dyDescent="0.3">
      <c r="A96" s="683">
        <v>4376</v>
      </c>
      <c r="B96" s="1267" t="s">
        <v>466</v>
      </c>
      <c r="C96" s="1268"/>
      <c r="D96" s="407">
        <v>0</v>
      </c>
      <c r="E96" s="406">
        <v>233.48</v>
      </c>
      <c r="F96" s="407">
        <v>0</v>
      </c>
      <c r="G96" s="753">
        <v>1681.93</v>
      </c>
      <c r="H96" s="118">
        <v>1681.93</v>
      </c>
      <c r="I96" s="1032">
        <v>0</v>
      </c>
      <c r="J96" s="408" t="s">
        <v>58</v>
      </c>
      <c r="K96" s="409">
        <f t="shared" si="23"/>
        <v>0</v>
      </c>
    </row>
    <row r="97" spans="1:12" s="65" customFormat="1" ht="27.75" customHeight="1" x14ac:dyDescent="0.3">
      <c r="A97" s="683">
        <v>4399</v>
      </c>
      <c r="B97" s="1265" t="s">
        <v>272</v>
      </c>
      <c r="C97" s="1266"/>
      <c r="D97" s="407">
        <v>30000</v>
      </c>
      <c r="E97" s="406">
        <v>0</v>
      </c>
      <c r="F97" s="407">
        <v>40000</v>
      </c>
      <c r="G97" s="753">
        <v>689.7</v>
      </c>
      <c r="H97" s="118">
        <v>601.37</v>
      </c>
      <c r="I97" s="1032">
        <v>50000</v>
      </c>
      <c r="J97" s="408">
        <f t="shared" si="22"/>
        <v>125</v>
      </c>
      <c r="K97" s="409">
        <f t="shared" si="23"/>
        <v>7249.5287806292581</v>
      </c>
    </row>
    <row r="98" spans="1:12" s="63" customFormat="1" ht="16.5" customHeight="1" x14ac:dyDescent="0.3">
      <c r="A98" s="581" t="s">
        <v>92</v>
      </c>
      <c r="B98" s="1263" t="s">
        <v>125</v>
      </c>
      <c r="C98" s="1264"/>
      <c r="D98" s="369">
        <v>30000</v>
      </c>
      <c r="E98" s="368">
        <f>+E92</f>
        <v>17242.45</v>
      </c>
      <c r="F98" s="369">
        <v>40000</v>
      </c>
      <c r="G98" s="753">
        <v>26396.99</v>
      </c>
      <c r="H98" s="118">
        <v>23779.94</v>
      </c>
      <c r="I98" s="1029">
        <v>50000</v>
      </c>
      <c r="J98" s="364">
        <f t="shared" si="22"/>
        <v>125</v>
      </c>
      <c r="K98" s="365">
        <f t="shared" si="23"/>
        <v>189.41553563493412</v>
      </c>
    </row>
    <row r="99" spans="1:12" s="447" customFormat="1" ht="22.5" customHeight="1" thickBot="1" x14ac:dyDescent="0.35">
      <c r="A99" s="434">
        <v>6402</v>
      </c>
      <c r="B99" s="1262" t="s">
        <v>528</v>
      </c>
      <c r="C99" s="1189"/>
      <c r="D99" s="466">
        <v>0</v>
      </c>
      <c r="E99" s="465">
        <v>0</v>
      </c>
      <c r="F99" s="466">
        <v>0</v>
      </c>
      <c r="G99" s="828">
        <v>1.4</v>
      </c>
      <c r="H99" s="939">
        <v>1.4</v>
      </c>
      <c r="I99" s="1033">
        <v>0</v>
      </c>
      <c r="J99" s="468" t="s">
        <v>58</v>
      </c>
      <c r="K99" s="469">
        <f t="shared" si="23"/>
        <v>0</v>
      </c>
    </row>
    <row r="100" spans="1:12" s="19" customFormat="1" ht="20.100000000000001" customHeight="1" thickBot="1" x14ac:dyDescent="0.35">
      <c r="A100" s="178"/>
      <c r="B100" s="189" t="s">
        <v>82</v>
      </c>
      <c r="C100" s="175"/>
      <c r="D100" s="169">
        <f t="shared" ref="D100:I100" si="24">D9+D14+D15+D16+D17+D22+D23+D28+D33+D38+D43+D48+D53+D58+D59+D64+D69+D74+D79+SUM(D84:D92)+D99</f>
        <v>535445</v>
      </c>
      <c r="E100" s="182">
        <f t="shared" si="24"/>
        <v>502021.26</v>
      </c>
      <c r="F100" s="179">
        <f t="shared" si="24"/>
        <v>540445</v>
      </c>
      <c r="G100" s="185">
        <f t="shared" si="24"/>
        <v>730061.25</v>
      </c>
      <c r="H100" s="186">
        <f t="shared" si="24"/>
        <v>608808.58000000007</v>
      </c>
      <c r="I100" s="872">
        <f t="shared" si="24"/>
        <v>600445</v>
      </c>
      <c r="J100" s="172">
        <f t="shared" si="22"/>
        <v>111.10196227183155</v>
      </c>
      <c r="K100" s="173">
        <f t="shared" si="23"/>
        <v>82.245838962141875</v>
      </c>
      <c r="L100" s="9"/>
    </row>
    <row r="102" spans="1:12" s="65" customFormat="1" ht="14.4" x14ac:dyDescent="0.3">
      <c r="A102" s="100"/>
      <c r="B102" s="20"/>
      <c r="D102" s="158"/>
      <c r="E102" s="158"/>
      <c r="F102" s="158"/>
      <c r="G102" s="158"/>
      <c r="H102" s="158"/>
      <c r="I102" s="158"/>
      <c r="J102" s="6"/>
      <c r="K102" s="6"/>
    </row>
    <row r="103" spans="1:12" s="65" customFormat="1" ht="14.4" x14ac:dyDescent="0.3">
      <c r="A103" s="100"/>
      <c r="D103" s="158"/>
      <c r="E103" s="158"/>
      <c r="F103" s="158"/>
      <c r="G103" s="158"/>
      <c r="H103" s="158"/>
      <c r="I103" s="158"/>
      <c r="J103" s="912"/>
      <c r="K103" s="6"/>
    </row>
    <row r="104" spans="1:12" x14ac:dyDescent="0.3">
      <c r="C104" s="2"/>
      <c r="D104" s="3"/>
      <c r="E104" s="2"/>
      <c r="F104" s="3"/>
      <c r="I104" s="944"/>
      <c r="K104" s="1"/>
    </row>
    <row r="105" spans="1:12" x14ac:dyDescent="0.3">
      <c r="I105" s="944"/>
    </row>
    <row r="106" spans="1:12" x14ac:dyDescent="0.3">
      <c r="I106" s="944"/>
    </row>
    <row r="107" spans="1:12" x14ac:dyDescent="0.3">
      <c r="I107" s="944"/>
    </row>
  </sheetData>
  <mergeCells count="71">
    <mergeCell ref="B87:C87"/>
    <mergeCell ref="B88:C88"/>
    <mergeCell ref="B99:C99"/>
    <mergeCell ref="B90:C90"/>
    <mergeCell ref="B98:C98"/>
    <mergeCell ref="B97:C97"/>
    <mergeCell ref="B94:C94"/>
    <mergeCell ref="B93:C93"/>
    <mergeCell ref="B95:C95"/>
    <mergeCell ref="B96:C96"/>
    <mergeCell ref="A92:C92"/>
    <mergeCell ref="B91:C91"/>
    <mergeCell ref="B89:C89"/>
    <mergeCell ref="A64:A68"/>
    <mergeCell ref="B64:C64"/>
    <mergeCell ref="B65:B68"/>
    <mergeCell ref="A69:A73"/>
    <mergeCell ref="B79:C79"/>
    <mergeCell ref="A79:A83"/>
    <mergeCell ref="B69:C69"/>
    <mergeCell ref="B70:B73"/>
    <mergeCell ref="A74:A78"/>
    <mergeCell ref="B74:C74"/>
    <mergeCell ref="B75:B78"/>
    <mergeCell ref="B80:B83"/>
    <mergeCell ref="B84:C84"/>
    <mergeCell ref="B85:C85"/>
    <mergeCell ref="B86:C86"/>
    <mergeCell ref="B54:B57"/>
    <mergeCell ref="A43:A47"/>
    <mergeCell ref="B43:C43"/>
    <mergeCell ref="B44:B47"/>
    <mergeCell ref="A59:A63"/>
    <mergeCell ref="B59:C59"/>
    <mergeCell ref="B60:B63"/>
    <mergeCell ref="B58:C58"/>
    <mergeCell ref="A48:A52"/>
    <mergeCell ref="B48:C48"/>
    <mergeCell ref="B49:B52"/>
    <mergeCell ref="A53:A57"/>
    <mergeCell ref="B53:C53"/>
    <mergeCell ref="B9:C9"/>
    <mergeCell ref="A2:K2"/>
    <mergeCell ref="A6:A7"/>
    <mergeCell ref="D6:E6"/>
    <mergeCell ref="F6:H6"/>
    <mergeCell ref="J6:J7"/>
    <mergeCell ref="K6:K7"/>
    <mergeCell ref="B6:C7"/>
    <mergeCell ref="A9:A13"/>
    <mergeCell ref="B10:B13"/>
    <mergeCell ref="I6:I7"/>
    <mergeCell ref="B18:B21"/>
    <mergeCell ref="A28:A32"/>
    <mergeCell ref="B28:C28"/>
    <mergeCell ref="B29:B32"/>
    <mergeCell ref="B14:C14"/>
    <mergeCell ref="A17:A21"/>
    <mergeCell ref="B23:C23"/>
    <mergeCell ref="A23:A27"/>
    <mergeCell ref="B24:B27"/>
    <mergeCell ref="B16:C16"/>
    <mergeCell ref="B17:C17"/>
    <mergeCell ref="B22:C22"/>
    <mergeCell ref="B15:C15"/>
    <mergeCell ref="A33:A37"/>
    <mergeCell ref="B33:C33"/>
    <mergeCell ref="B34:B37"/>
    <mergeCell ref="A38:A42"/>
    <mergeCell ref="B38:C38"/>
    <mergeCell ref="B39:B42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55" fitToHeight="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K21"/>
  <sheetViews>
    <sheetView workbookViewId="0">
      <selection activeCell="B1" sqref="B1"/>
    </sheetView>
  </sheetViews>
  <sheetFormatPr defaultColWidth="9.109375" defaultRowHeight="13.8" x14ac:dyDescent="0.3"/>
  <cols>
    <col min="1" max="1" width="7.6640625" style="1" customWidth="1"/>
    <col min="2" max="2" width="50.44140625" style="1" customWidth="1"/>
    <col min="3" max="3" width="14.6640625" style="2" customWidth="1"/>
    <col min="4" max="4" width="14.6640625" style="3" customWidth="1"/>
    <col min="5" max="5" width="14.6640625" style="2" customWidth="1"/>
    <col min="6" max="6" width="17" style="3" customWidth="1"/>
    <col min="7" max="7" width="14.6640625" style="3" customWidth="1"/>
    <col min="8" max="8" width="14.6640625" style="697" customWidth="1"/>
    <col min="9" max="9" width="9.88671875" style="5" customWidth="1"/>
    <col min="10" max="10" width="9.6640625" style="5" customWidth="1"/>
    <col min="11" max="16384" width="9.109375" style="1"/>
  </cols>
  <sheetData>
    <row r="1" spans="1:10" ht="14.4" x14ac:dyDescent="0.3">
      <c r="B1" s="1" t="s">
        <v>574</v>
      </c>
      <c r="J1" s="6"/>
    </row>
    <row r="2" spans="1:10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</row>
    <row r="3" spans="1:10" ht="15" customHeight="1" x14ac:dyDescent="0.3"/>
    <row r="4" spans="1:10" ht="20.100000000000001" customHeight="1" x14ac:dyDescent="0.35">
      <c r="A4" s="98" t="s">
        <v>223</v>
      </c>
      <c r="B4" s="7"/>
      <c r="I4" s="8"/>
    </row>
    <row r="5" spans="1:10" ht="15" customHeight="1" thickBot="1" x14ac:dyDescent="0.4">
      <c r="A5" s="7"/>
      <c r="J5" s="8" t="s">
        <v>0</v>
      </c>
    </row>
    <row r="6" spans="1:10" s="62" customFormat="1" ht="15.9" customHeight="1" x14ac:dyDescent="0.2">
      <c r="A6" s="1159" t="s">
        <v>85</v>
      </c>
      <c r="B6" s="1165" t="s">
        <v>97</v>
      </c>
      <c r="C6" s="1060" t="s">
        <v>402</v>
      </c>
      <c r="D6" s="1061"/>
      <c r="E6" s="1060" t="s">
        <v>450</v>
      </c>
      <c r="F6" s="1064"/>
      <c r="G6" s="1061"/>
      <c r="H6" s="1169" t="s">
        <v>507</v>
      </c>
      <c r="I6" s="1161" t="s">
        <v>508</v>
      </c>
      <c r="J6" s="1163" t="s">
        <v>509</v>
      </c>
    </row>
    <row r="7" spans="1:10" s="62" customFormat="1" ht="30.9" customHeight="1" thickBot="1" x14ac:dyDescent="0.25">
      <c r="A7" s="1160"/>
      <c r="B7" s="1167"/>
      <c r="C7" s="236" t="s">
        <v>103</v>
      </c>
      <c r="D7" s="835" t="s">
        <v>520</v>
      </c>
      <c r="E7" s="236" t="s">
        <v>103</v>
      </c>
      <c r="F7" s="237" t="s">
        <v>556</v>
      </c>
      <c r="G7" s="238" t="s">
        <v>555</v>
      </c>
      <c r="H7" s="1170"/>
      <c r="I7" s="1162"/>
      <c r="J7" s="1164"/>
    </row>
    <row r="8" spans="1:10" s="9" customFormat="1" ht="20.100000000000001" customHeight="1" thickBot="1" x14ac:dyDescent="0.35">
      <c r="B8" s="10" t="s">
        <v>98</v>
      </c>
      <c r="C8" s="11"/>
      <c r="D8" s="12"/>
      <c r="E8" s="11"/>
      <c r="F8" s="13"/>
      <c r="G8" s="13"/>
      <c r="H8" s="239"/>
      <c r="I8" s="16"/>
      <c r="J8" s="16"/>
    </row>
    <row r="9" spans="1:10" s="19" customFormat="1" ht="20.100000000000001" customHeight="1" x14ac:dyDescent="0.3">
      <c r="A9" s="475">
        <v>2212</v>
      </c>
      <c r="B9" s="526" t="s">
        <v>105</v>
      </c>
      <c r="C9" s="476">
        <v>150</v>
      </c>
      <c r="D9" s="477">
        <v>780.45</v>
      </c>
      <c r="E9" s="478">
        <v>600</v>
      </c>
      <c r="F9" s="479">
        <v>425</v>
      </c>
      <c r="G9" s="480">
        <v>205.49</v>
      </c>
      <c r="H9" s="955">
        <v>400</v>
      </c>
      <c r="I9" s="382">
        <f t="shared" ref="I9:I18" si="0">H9/E9*100</f>
        <v>66.666666666666657</v>
      </c>
      <c r="J9" s="383">
        <f t="shared" ref="J9:J18" si="1">H9/F9*100</f>
        <v>94.117647058823522</v>
      </c>
    </row>
    <row r="10" spans="1:10" s="19" customFormat="1" ht="20.100000000000001" customHeight="1" x14ac:dyDescent="0.3">
      <c r="A10" s="481">
        <v>3121</v>
      </c>
      <c r="B10" s="525" t="s">
        <v>107</v>
      </c>
      <c r="C10" s="417">
        <v>80</v>
      </c>
      <c r="D10" s="418">
        <v>0</v>
      </c>
      <c r="E10" s="440">
        <v>0</v>
      </c>
      <c r="F10" s="419">
        <v>0</v>
      </c>
      <c r="G10" s="420">
        <v>0</v>
      </c>
      <c r="H10" s="956">
        <v>0</v>
      </c>
      <c r="I10" s="392" t="s">
        <v>58</v>
      </c>
      <c r="J10" s="393" t="s">
        <v>58</v>
      </c>
    </row>
    <row r="11" spans="1:10" s="19" customFormat="1" ht="20.100000000000001" customHeight="1" x14ac:dyDescent="0.3">
      <c r="A11" s="481">
        <v>3122</v>
      </c>
      <c r="B11" s="525" t="s">
        <v>108</v>
      </c>
      <c r="C11" s="417">
        <v>80</v>
      </c>
      <c r="D11" s="418">
        <v>0</v>
      </c>
      <c r="E11" s="440">
        <v>0</v>
      </c>
      <c r="F11" s="419">
        <v>0</v>
      </c>
      <c r="G11" s="420">
        <v>0</v>
      </c>
      <c r="H11" s="956">
        <v>0</v>
      </c>
      <c r="I11" s="392" t="s">
        <v>58</v>
      </c>
      <c r="J11" s="393" t="s">
        <v>58</v>
      </c>
    </row>
    <row r="12" spans="1:10" s="19" customFormat="1" ht="30" customHeight="1" x14ac:dyDescent="0.3">
      <c r="A12" s="481">
        <v>3123</v>
      </c>
      <c r="B12" s="525" t="s">
        <v>117</v>
      </c>
      <c r="C12" s="417">
        <v>80</v>
      </c>
      <c r="D12" s="418">
        <v>0</v>
      </c>
      <c r="E12" s="440">
        <v>0</v>
      </c>
      <c r="F12" s="419">
        <v>0</v>
      </c>
      <c r="G12" s="420">
        <v>0</v>
      </c>
      <c r="H12" s="956">
        <v>0</v>
      </c>
      <c r="I12" s="392" t="s">
        <v>58</v>
      </c>
      <c r="J12" s="393" t="s">
        <v>58</v>
      </c>
    </row>
    <row r="13" spans="1:10" s="19" customFormat="1" ht="20.100000000000001" customHeight="1" x14ac:dyDescent="0.3">
      <c r="A13" s="481">
        <v>3315</v>
      </c>
      <c r="B13" s="525" t="s">
        <v>312</v>
      </c>
      <c r="C13" s="417">
        <v>80</v>
      </c>
      <c r="D13" s="418">
        <v>0</v>
      </c>
      <c r="E13" s="440">
        <v>0</v>
      </c>
      <c r="F13" s="419">
        <v>0</v>
      </c>
      <c r="G13" s="420">
        <v>0</v>
      </c>
      <c r="H13" s="956">
        <v>0</v>
      </c>
      <c r="I13" s="392" t="s">
        <v>58</v>
      </c>
      <c r="J13" s="393" t="s">
        <v>58</v>
      </c>
    </row>
    <row r="14" spans="1:10" s="19" customFormat="1" ht="20.100000000000001" customHeight="1" x14ac:dyDescent="0.3">
      <c r="A14" s="481">
        <v>3636</v>
      </c>
      <c r="B14" s="525" t="s">
        <v>110</v>
      </c>
      <c r="C14" s="417">
        <v>0</v>
      </c>
      <c r="D14" s="418">
        <v>509.65</v>
      </c>
      <c r="E14" s="440">
        <v>500</v>
      </c>
      <c r="F14" s="419">
        <v>1114.5</v>
      </c>
      <c r="G14" s="420">
        <v>451.39</v>
      </c>
      <c r="H14" s="956">
        <v>500</v>
      </c>
      <c r="I14" s="392">
        <f t="shared" si="0"/>
        <v>100</v>
      </c>
      <c r="J14" s="393">
        <f t="shared" si="1"/>
        <v>44.863167339614179</v>
      </c>
    </row>
    <row r="15" spans="1:10" s="19" customFormat="1" ht="20.100000000000001" customHeight="1" x14ac:dyDescent="0.3">
      <c r="A15" s="481">
        <v>4350</v>
      </c>
      <c r="B15" s="525" t="s">
        <v>112</v>
      </c>
      <c r="C15" s="417">
        <v>80</v>
      </c>
      <c r="D15" s="418">
        <v>0</v>
      </c>
      <c r="E15" s="440">
        <v>0</v>
      </c>
      <c r="F15" s="419">
        <v>0</v>
      </c>
      <c r="G15" s="420">
        <v>0</v>
      </c>
      <c r="H15" s="956">
        <v>0</v>
      </c>
      <c r="I15" s="392" t="s">
        <v>58</v>
      </c>
      <c r="J15" s="393" t="s">
        <v>58</v>
      </c>
    </row>
    <row r="16" spans="1:10" s="19" customFormat="1" ht="20.100000000000001" customHeight="1" x14ac:dyDescent="0.3">
      <c r="A16" s="481">
        <v>6113</v>
      </c>
      <c r="B16" s="525" t="s">
        <v>113</v>
      </c>
      <c r="C16" s="417">
        <v>60</v>
      </c>
      <c r="D16" s="418">
        <v>0</v>
      </c>
      <c r="E16" s="440">
        <v>0</v>
      </c>
      <c r="F16" s="419">
        <v>0</v>
      </c>
      <c r="G16" s="420">
        <v>0</v>
      </c>
      <c r="H16" s="956">
        <v>0</v>
      </c>
      <c r="I16" s="392" t="s">
        <v>58</v>
      </c>
      <c r="J16" s="393" t="s">
        <v>58</v>
      </c>
    </row>
    <row r="17" spans="1:11" s="19" customFormat="1" ht="20.100000000000001" customHeight="1" thickBot="1" x14ac:dyDescent="0.35">
      <c r="A17" s="481">
        <v>6172</v>
      </c>
      <c r="B17" s="525" t="s">
        <v>99</v>
      </c>
      <c r="C17" s="417">
        <v>3374</v>
      </c>
      <c r="D17" s="418">
        <v>2621.78</v>
      </c>
      <c r="E17" s="440">
        <v>2884</v>
      </c>
      <c r="F17" s="419">
        <v>3974</v>
      </c>
      <c r="G17" s="420">
        <v>2402.4</v>
      </c>
      <c r="H17" s="956">
        <v>3234</v>
      </c>
      <c r="I17" s="667">
        <f t="shared" si="0"/>
        <v>112.13592233009709</v>
      </c>
      <c r="J17" s="393">
        <f t="shared" si="1"/>
        <v>81.378963261197796</v>
      </c>
      <c r="K17" s="9"/>
    </row>
    <row r="18" spans="1:11" s="19" customFormat="1" ht="20.100000000000001" customHeight="1" thickBot="1" x14ac:dyDescent="0.35">
      <c r="A18" s="174"/>
      <c r="B18" s="348" t="s">
        <v>82</v>
      </c>
      <c r="C18" s="169">
        <f t="shared" ref="C18:H18" si="2">SUM(C9:C17)</f>
        <v>3984</v>
      </c>
      <c r="D18" s="182">
        <f t="shared" si="2"/>
        <v>3911.88</v>
      </c>
      <c r="E18" s="179">
        <f t="shared" si="2"/>
        <v>3984</v>
      </c>
      <c r="F18" s="185">
        <f t="shared" si="2"/>
        <v>5513.5</v>
      </c>
      <c r="G18" s="186">
        <f t="shared" si="2"/>
        <v>3059.28</v>
      </c>
      <c r="H18" s="872">
        <f t="shared" si="2"/>
        <v>4134</v>
      </c>
      <c r="I18" s="172">
        <f t="shared" si="0"/>
        <v>103.76506024096386</v>
      </c>
      <c r="J18" s="173">
        <f t="shared" si="1"/>
        <v>74.979595538224359</v>
      </c>
      <c r="K18" s="9"/>
    </row>
    <row r="19" spans="1:11" ht="15" customHeight="1" x14ac:dyDescent="0.3">
      <c r="A19" s="20"/>
      <c r="B19" s="20"/>
      <c r="C19" s="159"/>
      <c r="D19" s="158"/>
      <c r="E19" s="159"/>
      <c r="F19" s="161"/>
      <c r="G19" s="161"/>
      <c r="H19" s="161"/>
      <c r="I19" s="24"/>
      <c r="J19" s="25"/>
    </row>
    <row r="20" spans="1:11" x14ac:dyDescent="0.3">
      <c r="C20" s="3"/>
      <c r="E20" s="3"/>
      <c r="H20" s="3"/>
      <c r="I20" s="892"/>
    </row>
    <row r="21" spans="1:11" x14ac:dyDescent="0.3">
      <c r="C21" s="3"/>
      <c r="E21" s="3"/>
      <c r="H21" s="3"/>
    </row>
  </sheetData>
  <sortState xmlns:xlrd2="http://schemas.microsoft.com/office/spreadsheetml/2017/richdata2" ref="A9:J25">
    <sortCondition ref="A9:A25"/>
  </sortState>
  <mergeCells count="8">
    <mergeCell ref="A2:J2"/>
    <mergeCell ref="A6:A7"/>
    <mergeCell ref="C6:D6"/>
    <mergeCell ref="E6:G6"/>
    <mergeCell ref="I6:I7"/>
    <mergeCell ref="J6:J7"/>
    <mergeCell ref="B6:B7"/>
    <mergeCell ref="H6:H7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54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K15"/>
  <sheetViews>
    <sheetView workbookViewId="0">
      <selection activeCell="B1" sqref="B1"/>
    </sheetView>
  </sheetViews>
  <sheetFormatPr defaultColWidth="9.109375" defaultRowHeight="13.8" x14ac:dyDescent="0.3"/>
  <cols>
    <col min="1" max="1" width="7.6640625" style="1" customWidth="1"/>
    <col min="2" max="2" width="47.6640625" style="1" customWidth="1"/>
    <col min="3" max="3" width="14.6640625" style="2" customWidth="1"/>
    <col min="4" max="4" width="14.6640625" style="3" customWidth="1"/>
    <col min="5" max="5" width="14.6640625" style="2" customWidth="1"/>
    <col min="6" max="6" width="16.109375" style="3" customWidth="1"/>
    <col min="7" max="7" width="14.6640625" style="3" customWidth="1"/>
    <col min="8" max="8" width="13.88671875" style="697" customWidth="1"/>
    <col min="9" max="9" width="10.109375" style="5" bestFit="1" customWidth="1"/>
    <col min="10" max="10" width="10.109375" style="5" customWidth="1"/>
    <col min="11" max="16384" width="9.109375" style="1"/>
  </cols>
  <sheetData>
    <row r="1" spans="1:11" ht="14.4" x14ac:dyDescent="0.3">
      <c r="B1" s="1" t="s">
        <v>574</v>
      </c>
      <c r="J1" s="6"/>
    </row>
    <row r="2" spans="1:11" ht="20.100000000000001" customHeight="1" x14ac:dyDescent="0.45">
      <c r="A2" s="1157" t="s">
        <v>510</v>
      </c>
      <c r="B2" s="1157"/>
      <c r="C2" s="1157"/>
      <c r="D2" s="1157"/>
      <c r="E2" s="1157"/>
      <c r="F2" s="1157"/>
      <c r="G2" s="1157"/>
      <c r="H2" s="1157"/>
      <c r="I2" s="1157"/>
      <c r="J2" s="1157"/>
    </row>
    <row r="3" spans="1:11" ht="15" customHeight="1" x14ac:dyDescent="0.3"/>
    <row r="4" spans="1:11" ht="18" x14ac:dyDescent="0.35">
      <c r="A4" s="7" t="s">
        <v>96</v>
      </c>
      <c r="I4" s="8"/>
    </row>
    <row r="5" spans="1:11" ht="15" customHeight="1" thickBot="1" x14ac:dyDescent="0.4">
      <c r="A5" s="7"/>
      <c r="J5" s="8" t="s">
        <v>0</v>
      </c>
    </row>
    <row r="6" spans="1:11" s="26" customFormat="1" ht="15.9" customHeight="1" x14ac:dyDescent="0.25">
      <c r="A6" s="1159" t="s">
        <v>85</v>
      </c>
      <c r="B6" s="1166" t="s">
        <v>97</v>
      </c>
      <c r="C6" s="1060" t="s">
        <v>402</v>
      </c>
      <c r="D6" s="1061"/>
      <c r="E6" s="1060" t="s">
        <v>450</v>
      </c>
      <c r="F6" s="1064"/>
      <c r="G6" s="1061"/>
      <c r="H6" s="1169" t="s">
        <v>507</v>
      </c>
      <c r="I6" s="1161" t="s">
        <v>508</v>
      </c>
      <c r="J6" s="1163" t="s">
        <v>509</v>
      </c>
    </row>
    <row r="7" spans="1:11" s="26" customFormat="1" ht="30.9" customHeight="1" thickBot="1" x14ac:dyDescent="0.3">
      <c r="A7" s="1160"/>
      <c r="B7" s="1168"/>
      <c r="C7" s="236" t="s">
        <v>103</v>
      </c>
      <c r="D7" s="835" t="s">
        <v>520</v>
      </c>
      <c r="E7" s="236" t="s">
        <v>103</v>
      </c>
      <c r="F7" s="237" t="s">
        <v>556</v>
      </c>
      <c r="G7" s="238" t="s">
        <v>555</v>
      </c>
      <c r="H7" s="1170"/>
      <c r="I7" s="1162"/>
      <c r="J7" s="1164"/>
    </row>
    <row r="8" spans="1:11" s="9" customFormat="1" ht="20.100000000000001" customHeight="1" thickBot="1" x14ac:dyDescent="0.35">
      <c r="B8" s="10" t="s">
        <v>98</v>
      </c>
      <c r="C8" s="11"/>
      <c r="D8" s="12"/>
      <c r="E8" s="11"/>
      <c r="F8" s="13"/>
      <c r="G8" s="13"/>
      <c r="H8" s="239"/>
      <c r="I8" s="16"/>
      <c r="J8" s="16"/>
    </row>
    <row r="9" spans="1:11" s="89" customFormat="1" ht="20.100000000000001" customHeight="1" x14ac:dyDescent="0.3">
      <c r="A9" s="430">
        <v>6172</v>
      </c>
      <c r="B9" s="526" t="s">
        <v>99</v>
      </c>
      <c r="C9" s="476">
        <v>120</v>
      </c>
      <c r="D9" s="482">
        <v>0</v>
      </c>
      <c r="E9" s="476">
        <v>120</v>
      </c>
      <c r="F9" s="479">
        <v>120</v>
      </c>
      <c r="G9" s="483">
        <v>0</v>
      </c>
      <c r="H9" s="955">
        <v>300</v>
      </c>
      <c r="I9" s="382">
        <f>H9/E9*100</f>
        <v>250</v>
      </c>
      <c r="J9" s="383">
        <f>H9/F9*100</f>
        <v>250</v>
      </c>
      <c r="K9" s="9"/>
    </row>
    <row r="10" spans="1:11" s="89" customFormat="1" ht="20.100000000000001" customHeight="1" x14ac:dyDescent="0.25">
      <c r="A10" s="428">
        <v>6310</v>
      </c>
      <c r="B10" s="525" t="s">
        <v>100</v>
      </c>
      <c r="C10" s="417">
        <v>550</v>
      </c>
      <c r="D10" s="439">
        <v>357.42</v>
      </c>
      <c r="E10" s="417">
        <v>550</v>
      </c>
      <c r="F10" s="419">
        <v>550</v>
      </c>
      <c r="G10" s="426">
        <v>254.94</v>
      </c>
      <c r="H10" s="956">
        <v>550</v>
      </c>
      <c r="I10" s="400">
        <f>H10/E10*100</f>
        <v>100</v>
      </c>
      <c r="J10" s="401">
        <f>H10/F10*100</f>
        <v>100</v>
      </c>
    </row>
    <row r="11" spans="1:11" s="89" customFormat="1" ht="20.100000000000001" customHeight="1" thickBot="1" x14ac:dyDescent="0.3">
      <c r="A11" s="428">
        <v>6399</v>
      </c>
      <c r="B11" s="527" t="s">
        <v>101</v>
      </c>
      <c r="C11" s="395">
        <v>8572</v>
      </c>
      <c r="D11" s="396">
        <v>68463.850000000006</v>
      </c>
      <c r="E11" s="395">
        <v>8572</v>
      </c>
      <c r="F11" s="398">
        <v>95766.16</v>
      </c>
      <c r="G11" s="399">
        <v>91677.24</v>
      </c>
      <c r="H11" s="956">
        <v>8572</v>
      </c>
      <c r="I11" s="400">
        <f>H11/E11*100</f>
        <v>100</v>
      </c>
      <c r="J11" s="401">
        <f>H11/F11*100</f>
        <v>8.9509697371179957</v>
      </c>
    </row>
    <row r="12" spans="1:11" ht="20.100000000000001" customHeight="1" thickBot="1" x14ac:dyDescent="0.35">
      <c r="A12" s="168"/>
      <c r="B12" s="348" t="s">
        <v>82</v>
      </c>
      <c r="C12" s="169">
        <f t="shared" ref="C12:H12" si="0">SUM(C9:C11)</f>
        <v>9242</v>
      </c>
      <c r="D12" s="170">
        <f t="shared" si="0"/>
        <v>68821.27</v>
      </c>
      <c r="E12" s="169">
        <f t="shared" si="0"/>
        <v>9242</v>
      </c>
      <c r="F12" s="171">
        <f t="shared" si="0"/>
        <v>96436.160000000003</v>
      </c>
      <c r="G12" s="170">
        <f t="shared" si="0"/>
        <v>91932.180000000008</v>
      </c>
      <c r="H12" s="959">
        <f t="shared" si="0"/>
        <v>9422</v>
      </c>
      <c r="I12" s="345">
        <f>H12/E12*100</f>
        <v>101.94763038303398</v>
      </c>
      <c r="J12" s="648">
        <f>H12/F12*100</f>
        <v>9.7701940848743867</v>
      </c>
      <c r="K12" s="9"/>
    </row>
    <row r="14" spans="1:11" x14ac:dyDescent="0.3">
      <c r="C14" s="3"/>
      <c r="E14" s="3"/>
      <c r="H14" s="3"/>
      <c r="I14" s="974"/>
    </row>
    <row r="15" spans="1:11" x14ac:dyDescent="0.3">
      <c r="C15" s="3"/>
      <c r="E15" s="3"/>
      <c r="H15" s="3"/>
    </row>
  </sheetData>
  <mergeCells count="8">
    <mergeCell ref="A2:J2"/>
    <mergeCell ref="C6:D6"/>
    <mergeCell ref="E6:G6"/>
    <mergeCell ref="I6:I7"/>
    <mergeCell ref="J6:J7"/>
    <mergeCell ref="A6:A7"/>
    <mergeCell ref="B6:B7"/>
    <mergeCell ref="H6:H7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5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440"/>
  <sheetViews>
    <sheetView workbookViewId="0"/>
  </sheetViews>
  <sheetFormatPr defaultColWidth="9.109375" defaultRowHeight="14.4" x14ac:dyDescent="0.25"/>
  <cols>
    <col min="1" max="1" width="72.6640625" style="165" customWidth="1"/>
    <col min="2" max="2" width="16.6640625" style="519" customWidth="1"/>
    <col min="3" max="3" width="15.44140625" style="519" customWidth="1"/>
    <col min="4" max="6" width="16.6640625" style="519" customWidth="1"/>
    <col min="7" max="7" width="18.5546875" style="200" customWidth="1"/>
    <col min="8" max="8" width="10.6640625" style="624" customWidth="1"/>
    <col min="9" max="9" width="12.5546875" style="784" customWidth="1"/>
    <col min="10" max="10" width="11.44140625" style="70" bestFit="1" customWidth="1"/>
    <col min="11" max="11" width="10" style="70" bestFit="1" customWidth="1"/>
    <col min="12" max="12" width="11.33203125" style="70" bestFit="1" customWidth="1"/>
    <col min="13" max="13" width="9.88671875" style="70" bestFit="1" customWidth="1"/>
    <col min="14" max="16384" width="9.109375" style="70"/>
  </cols>
  <sheetData>
    <row r="1" spans="1:11" ht="15" customHeight="1" x14ac:dyDescent="0.25">
      <c r="A1" s="165" t="s">
        <v>574</v>
      </c>
      <c r="H1" s="618"/>
    </row>
    <row r="2" spans="1:11" s="57" customFormat="1" ht="24" customHeight="1" x14ac:dyDescent="0.25">
      <c r="A2" s="598" t="s">
        <v>511</v>
      </c>
      <c r="B2" s="524"/>
      <c r="C2" s="524"/>
      <c r="D2" s="524"/>
      <c r="E2" s="524"/>
      <c r="F2" s="524"/>
      <c r="G2" s="563"/>
      <c r="I2" s="785"/>
    </row>
    <row r="3" spans="1:11" ht="15" customHeight="1" x14ac:dyDescent="0.25">
      <c r="A3" s="916"/>
      <c r="B3" s="294"/>
      <c r="C3" s="294"/>
      <c r="D3" s="294"/>
      <c r="E3" s="294"/>
      <c r="F3" s="294"/>
      <c r="H3" s="70"/>
    </row>
    <row r="4" spans="1:11" ht="20.100000000000001" customHeight="1" x14ac:dyDescent="0.25">
      <c r="A4" s="604" t="s">
        <v>40</v>
      </c>
      <c r="B4" s="294"/>
      <c r="C4" s="294"/>
      <c r="D4" s="294"/>
      <c r="E4" s="294"/>
      <c r="F4" s="294"/>
      <c r="H4" s="70"/>
    </row>
    <row r="5" spans="1:11" ht="15" customHeight="1" x14ac:dyDescent="0.25">
      <c r="A5" s="604"/>
      <c r="B5" s="294"/>
      <c r="C5" s="294"/>
      <c r="D5" s="294"/>
      <c r="E5" s="294"/>
      <c r="F5" s="294"/>
      <c r="H5" s="70"/>
    </row>
    <row r="6" spans="1:11" ht="15" customHeight="1" thickBot="1" x14ac:dyDescent="0.3">
      <c r="B6" s="619"/>
      <c r="C6" s="619"/>
      <c r="D6" s="619"/>
      <c r="E6" s="619"/>
      <c r="F6" s="619"/>
      <c r="H6" s="166" t="s">
        <v>0</v>
      </c>
    </row>
    <row r="7" spans="1:11" s="34" customFormat="1" ht="20.100000000000001" customHeight="1" x14ac:dyDescent="0.25">
      <c r="A7" s="1075" t="s">
        <v>1</v>
      </c>
      <c r="B7" s="1060" t="s">
        <v>402</v>
      </c>
      <c r="C7" s="1061"/>
      <c r="D7" s="1060" t="s">
        <v>450</v>
      </c>
      <c r="E7" s="1064"/>
      <c r="F7" s="1061"/>
      <c r="G7" s="1065" t="s">
        <v>507</v>
      </c>
      <c r="H7" s="1077" t="s">
        <v>508</v>
      </c>
    </row>
    <row r="8" spans="1:11" s="34" customFormat="1" ht="30.9" customHeight="1" thickBot="1" x14ac:dyDescent="0.3">
      <c r="A8" s="1076"/>
      <c r="B8" s="236" t="s">
        <v>103</v>
      </c>
      <c r="C8" s="835" t="s">
        <v>571</v>
      </c>
      <c r="D8" s="236" t="s">
        <v>103</v>
      </c>
      <c r="E8" s="237" t="s">
        <v>556</v>
      </c>
      <c r="F8" s="238" t="s">
        <v>572</v>
      </c>
      <c r="G8" s="1066"/>
      <c r="H8" s="1078"/>
    </row>
    <row r="9" spans="1:11" s="34" customFormat="1" ht="20.25" customHeight="1" x14ac:dyDescent="0.25">
      <c r="A9" s="1082" t="s">
        <v>2</v>
      </c>
      <c r="B9" s="1083"/>
      <c r="C9" s="1083"/>
      <c r="D9" s="1083"/>
      <c r="E9" s="1083"/>
      <c r="F9" s="1083"/>
      <c r="G9" s="1083"/>
      <c r="H9" s="1084"/>
    </row>
    <row r="10" spans="1:11" s="34" customFormat="1" ht="20.100000000000001" customHeight="1" x14ac:dyDescent="0.25">
      <c r="A10" s="201" t="s">
        <v>3</v>
      </c>
      <c r="B10" s="202">
        <v>15000000</v>
      </c>
      <c r="C10" s="203">
        <v>15374473.710000001</v>
      </c>
      <c r="D10" s="202">
        <v>15500000</v>
      </c>
      <c r="E10" s="204">
        <v>15587194.16</v>
      </c>
      <c r="F10" s="203">
        <v>11886572.789999999</v>
      </c>
      <c r="G10" s="101">
        <v>17700000</v>
      </c>
      <c r="H10" s="205">
        <f t="shared" ref="H10:H33" si="0">G10/D10*100</f>
        <v>114.19354838709677</v>
      </c>
      <c r="I10" s="784"/>
    </row>
    <row r="11" spans="1:11" s="34" customFormat="1" ht="20.100000000000001" customHeight="1" x14ac:dyDescent="0.25">
      <c r="A11" s="201" t="s">
        <v>54</v>
      </c>
      <c r="B11" s="202">
        <v>4000</v>
      </c>
      <c r="C11" s="203">
        <v>7511.23</v>
      </c>
      <c r="D11" s="202">
        <v>4000</v>
      </c>
      <c r="E11" s="204">
        <v>4000</v>
      </c>
      <c r="F11" s="203">
        <v>6636.65</v>
      </c>
      <c r="G11" s="101">
        <v>4000</v>
      </c>
      <c r="H11" s="205">
        <f t="shared" si="0"/>
        <v>100</v>
      </c>
    </row>
    <row r="12" spans="1:11" s="34" customFormat="1" ht="20.100000000000001" customHeight="1" x14ac:dyDescent="0.25">
      <c r="A12" s="201" t="s">
        <v>86</v>
      </c>
      <c r="B12" s="202">
        <v>12000</v>
      </c>
      <c r="C12" s="203">
        <v>16059.28</v>
      </c>
      <c r="D12" s="202">
        <v>12000</v>
      </c>
      <c r="E12" s="204">
        <v>12000</v>
      </c>
      <c r="F12" s="203">
        <v>9322.48</v>
      </c>
      <c r="G12" s="101">
        <v>10000</v>
      </c>
      <c r="H12" s="205">
        <f t="shared" si="0"/>
        <v>83.333333333333343</v>
      </c>
    </row>
    <row r="13" spans="1:11" s="620" customFormat="1" ht="20.100000000000001" customHeight="1" x14ac:dyDescent="0.25">
      <c r="A13" s="201" t="s">
        <v>307</v>
      </c>
      <c r="B13" s="202">
        <v>55000</v>
      </c>
      <c r="C13" s="203">
        <v>67439.850000000006</v>
      </c>
      <c r="D13" s="202">
        <v>55000</v>
      </c>
      <c r="E13" s="204">
        <v>69013.929999999993</v>
      </c>
      <c r="F13" s="203">
        <v>69052.639999999999</v>
      </c>
      <c r="G13" s="101">
        <v>55000</v>
      </c>
      <c r="H13" s="205">
        <f t="shared" si="0"/>
        <v>100</v>
      </c>
      <c r="I13" s="784"/>
    </row>
    <row r="14" spans="1:11" s="620" customFormat="1" ht="20.100000000000001" customHeight="1" x14ac:dyDescent="0.25">
      <c r="A14" s="201" t="s">
        <v>480</v>
      </c>
      <c r="B14" s="202">
        <v>0</v>
      </c>
      <c r="C14" s="203">
        <v>2332.31</v>
      </c>
      <c r="D14" s="202">
        <v>0</v>
      </c>
      <c r="E14" s="204">
        <v>4687.28</v>
      </c>
      <c r="F14" s="203">
        <v>4693.72</v>
      </c>
      <c r="G14" s="101">
        <v>0</v>
      </c>
      <c r="H14" s="205" t="s">
        <v>58</v>
      </c>
    </row>
    <row r="15" spans="1:11" s="34" customFormat="1" ht="20.100000000000001" customHeight="1" x14ac:dyDescent="0.25">
      <c r="A15" s="201" t="s">
        <v>4</v>
      </c>
      <c r="B15" s="202">
        <v>60000</v>
      </c>
      <c r="C15" s="203">
        <v>242842.76</v>
      </c>
      <c r="D15" s="202">
        <v>120000</v>
      </c>
      <c r="E15" s="204">
        <v>120050</v>
      </c>
      <c r="F15" s="203">
        <v>114610.91</v>
      </c>
      <c r="G15" s="101">
        <v>100000</v>
      </c>
      <c r="H15" s="205">
        <f>G15/D15*100</f>
        <v>83.333333333333343</v>
      </c>
      <c r="I15" s="784"/>
      <c r="K15" s="33"/>
    </row>
    <row r="16" spans="1:11" s="34" customFormat="1" ht="20.100000000000001" customHeight="1" x14ac:dyDescent="0.25">
      <c r="A16" s="201" t="s">
        <v>5</v>
      </c>
      <c r="B16" s="202">
        <v>0</v>
      </c>
      <c r="C16" s="203">
        <v>25129.54</v>
      </c>
      <c r="D16" s="202">
        <v>0</v>
      </c>
      <c r="E16" s="204">
        <v>0</v>
      </c>
      <c r="F16" s="203">
        <v>16467.2</v>
      </c>
      <c r="G16" s="101">
        <v>0</v>
      </c>
      <c r="H16" s="205" t="s">
        <v>58</v>
      </c>
    </row>
    <row r="17" spans="1:10" s="34" customFormat="1" ht="30" customHeight="1" x14ac:dyDescent="0.25">
      <c r="A17" s="201" t="s">
        <v>253</v>
      </c>
      <c r="B17" s="202">
        <v>19508</v>
      </c>
      <c r="C17" s="203">
        <v>21974.09</v>
      </c>
      <c r="D17" s="202">
        <v>0</v>
      </c>
      <c r="E17" s="204">
        <v>0</v>
      </c>
      <c r="F17" s="203">
        <v>227.78</v>
      </c>
      <c r="G17" s="101">
        <v>0</v>
      </c>
      <c r="H17" s="205" t="s">
        <v>58</v>
      </c>
    </row>
    <row r="18" spans="1:10" s="34" customFormat="1" ht="20.100000000000001" customHeight="1" x14ac:dyDescent="0.25">
      <c r="A18" s="201" t="s">
        <v>484</v>
      </c>
      <c r="B18" s="202">
        <v>0</v>
      </c>
      <c r="C18" s="203">
        <v>462538.23</v>
      </c>
      <c r="D18" s="202">
        <v>497700</v>
      </c>
      <c r="E18" s="204">
        <v>497700</v>
      </c>
      <c r="F18" s="643">
        <v>73169.960000000006</v>
      </c>
      <c r="G18" s="101">
        <f>+'Projekty EU a NZ'!I47</f>
        <v>468500</v>
      </c>
      <c r="H18" s="205">
        <f t="shared" si="0"/>
        <v>94.133011854530849</v>
      </c>
      <c r="I18" s="784"/>
    </row>
    <row r="19" spans="1:10" s="34" customFormat="1" ht="27.75" customHeight="1" x14ac:dyDescent="0.25">
      <c r="A19" s="201" t="s">
        <v>485</v>
      </c>
      <c r="B19" s="202">
        <v>0</v>
      </c>
      <c r="C19" s="203">
        <v>7224.95</v>
      </c>
      <c r="D19" s="202">
        <v>7700</v>
      </c>
      <c r="E19" s="204">
        <v>6597.53</v>
      </c>
      <c r="F19" s="643">
        <v>6597.53</v>
      </c>
      <c r="G19" s="101">
        <f>+'Projekty EU a NZ'!I68-G25</f>
        <v>51076</v>
      </c>
      <c r="H19" s="205">
        <f t="shared" si="0"/>
        <v>663.32467532467535</v>
      </c>
      <c r="I19" s="784"/>
    </row>
    <row r="20" spans="1:10" s="34" customFormat="1" ht="20.100000000000001" customHeight="1" x14ac:dyDescent="0.25">
      <c r="A20" s="201" t="s">
        <v>315</v>
      </c>
      <c r="B20" s="202">
        <v>5000</v>
      </c>
      <c r="C20" s="203">
        <v>90376.15</v>
      </c>
      <c r="D20" s="202">
        <v>41000</v>
      </c>
      <c r="E20" s="204">
        <v>46057.25</v>
      </c>
      <c r="F20" s="203">
        <v>32734.02</v>
      </c>
      <c r="G20" s="101">
        <v>48000</v>
      </c>
      <c r="H20" s="205">
        <f t="shared" si="0"/>
        <v>117.07317073170731</v>
      </c>
      <c r="I20" s="784"/>
    </row>
    <row r="21" spans="1:10" s="34" customFormat="1" ht="20.100000000000001" customHeight="1" x14ac:dyDescent="0.25">
      <c r="A21" s="201" t="s">
        <v>61</v>
      </c>
      <c r="B21" s="202">
        <v>0</v>
      </c>
      <c r="C21" s="203">
        <v>1007738.86</v>
      </c>
      <c r="D21" s="202">
        <v>0</v>
      </c>
      <c r="E21" s="204">
        <v>428678.7</v>
      </c>
      <c r="F21" s="204">
        <v>650563.6</v>
      </c>
      <c r="G21" s="101">
        <v>0</v>
      </c>
      <c r="H21" s="205" t="s">
        <v>58</v>
      </c>
      <c r="I21" s="784"/>
    </row>
    <row r="22" spans="1:10" s="34" customFormat="1" ht="20.100000000000001" customHeight="1" x14ac:dyDescent="0.25">
      <c r="A22" s="201" t="s">
        <v>6</v>
      </c>
      <c r="B22" s="202">
        <v>17000</v>
      </c>
      <c r="C22" s="203">
        <v>31598.27</v>
      </c>
      <c r="D22" s="202">
        <v>9000</v>
      </c>
      <c r="E22" s="204">
        <v>9000</v>
      </c>
      <c r="F22" s="203">
        <v>6335.34</v>
      </c>
      <c r="G22" s="101">
        <v>9000</v>
      </c>
      <c r="H22" s="205">
        <f t="shared" si="0"/>
        <v>100</v>
      </c>
      <c r="I22" s="784"/>
    </row>
    <row r="23" spans="1:10" s="34" customFormat="1" ht="30" customHeight="1" x14ac:dyDescent="0.25">
      <c r="A23" s="201" t="s">
        <v>7</v>
      </c>
      <c r="B23" s="202">
        <v>214000.8</v>
      </c>
      <c r="C23" s="203">
        <v>214000.8</v>
      </c>
      <c r="D23" s="202">
        <v>244949.7</v>
      </c>
      <c r="E23" s="204">
        <v>244949.7</v>
      </c>
      <c r="F23" s="203">
        <v>183712.27</v>
      </c>
      <c r="G23" s="101">
        <v>245581.4</v>
      </c>
      <c r="H23" s="205">
        <f t="shared" si="0"/>
        <v>100.2578896810243</v>
      </c>
      <c r="I23" s="784"/>
    </row>
    <row r="24" spans="1:10" s="34" customFormat="1" ht="30.75" customHeight="1" x14ac:dyDescent="0.25">
      <c r="A24" s="201" t="s">
        <v>482</v>
      </c>
      <c r="B24" s="202">
        <v>641609</v>
      </c>
      <c r="C24" s="203">
        <v>880212</v>
      </c>
      <c r="D24" s="202">
        <v>350600</v>
      </c>
      <c r="E24" s="204">
        <v>821262.99</v>
      </c>
      <c r="F24" s="203">
        <v>528208.28</v>
      </c>
      <c r="G24" s="101">
        <f>+'Projekty EU a NZ'!I25</f>
        <v>100100</v>
      </c>
      <c r="H24" s="205">
        <f t="shared" si="0"/>
        <v>28.551055333713631</v>
      </c>
      <c r="I24" s="200"/>
      <c r="J24" s="33"/>
    </row>
    <row r="25" spans="1:10" s="34" customFormat="1" ht="30" customHeight="1" x14ac:dyDescent="0.25">
      <c r="A25" s="201" t="s">
        <v>483</v>
      </c>
      <c r="B25" s="202">
        <v>26223</v>
      </c>
      <c r="C25" s="203">
        <v>17354.18</v>
      </c>
      <c r="D25" s="202">
        <v>6000</v>
      </c>
      <c r="E25" s="204">
        <v>13225.95</v>
      </c>
      <c r="F25" s="203">
        <v>13024.52</v>
      </c>
      <c r="G25" s="101">
        <v>10000</v>
      </c>
      <c r="H25" s="205">
        <f t="shared" si="0"/>
        <v>166.66666666666669</v>
      </c>
      <c r="I25" s="784"/>
    </row>
    <row r="26" spans="1:10" s="34" customFormat="1" ht="20.100000000000001" customHeight="1" x14ac:dyDescent="0.25">
      <c r="A26" s="201" t="s">
        <v>8</v>
      </c>
      <c r="B26" s="202">
        <v>27760000</v>
      </c>
      <c r="C26" s="203">
        <v>26065273.23</v>
      </c>
      <c r="D26" s="202">
        <v>29816000</v>
      </c>
      <c r="E26" s="204">
        <v>28794383.280000001</v>
      </c>
      <c r="F26" s="203">
        <v>23782693.989999998</v>
      </c>
      <c r="G26" s="101">
        <v>27033000</v>
      </c>
      <c r="H26" s="205">
        <f t="shared" si="0"/>
        <v>90.666085323316338</v>
      </c>
      <c r="I26" s="200"/>
    </row>
    <row r="27" spans="1:10" s="34" customFormat="1" ht="20.100000000000001" customHeight="1" x14ac:dyDescent="0.25">
      <c r="A27" s="201" t="s">
        <v>428</v>
      </c>
      <c r="B27" s="202">
        <v>642754</v>
      </c>
      <c r="C27" s="203">
        <v>642754.94999999995</v>
      </c>
      <c r="D27" s="202">
        <v>711529</v>
      </c>
      <c r="E27" s="204">
        <v>711529.73</v>
      </c>
      <c r="F27" s="203">
        <v>533646</v>
      </c>
      <c r="G27" s="101">
        <v>729000</v>
      </c>
      <c r="H27" s="205">
        <f t="shared" si="0"/>
        <v>102.45541643418609</v>
      </c>
      <c r="I27" s="784"/>
    </row>
    <row r="28" spans="1:10" s="34" customFormat="1" ht="20.100000000000001" customHeight="1" x14ac:dyDescent="0.25">
      <c r="A28" s="201" t="s">
        <v>444</v>
      </c>
      <c r="B28" s="202">
        <v>2741336</v>
      </c>
      <c r="C28" s="203">
        <v>2735474.93</v>
      </c>
      <c r="D28" s="202">
        <v>2842800</v>
      </c>
      <c r="E28" s="204">
        <v>2855645.27</v>
      </c>
      <c r="F28" s="203">
        <v>2860091.91</v>
      </c>
      <c r="G28" s="101">
        <f>2500+3126910+15000</f>
        <v>3144410</v>
      </c>
      <c r="H28" s="205">
        <f t="shared" si="0"/>
        <v>110.60961024342197</v>
      </c>
      <c r="I28" s="784"/>
    </row>
    <row r="29" spans="1:10" s="518" customFormat="1" ht="20.100000000000001" customHeight="1" x14ac:dyDescent="0.25">
      <c r="A29" s="201" t="s">
        <v>59</v>
      </c>
      <c r="B29" s="202">
        <v>0</v>
      </c>
      <c r="C29" s="203">
        <v>2023521.48</v>
      </c>
      <c r="D29" s="202">
        <v>0</v>
      </c>
      <c r="E29" s="204">
        <f>35762783.63-E23-E24-E25-E26-E27-E28-E30-E31-E32-E33</f>
        <v>1645987.709999993</v>
      </c>
      <c r="F29" s="204">
        <f>28846889.63-F23-F24-F25-F26-F27-F28-F30-F31-F32-F33</f>
        <v>686443.43000000017</v>
      </c>
      <c r="G29" s="101">
        <v>0</v>
      </c>
      <c r="H29" s="205" t="s">
        <v>58</v>
      </c>
      <c r="I29" s="34"/>
    </row>
    <row r="30" spans="1:10" s="518" customFormat="1" ht="20.100000000000001" customHeight="1" x14ac:dyDescent="0.25">
      <c r="A30" s="206" t="s">
        <v>504</v>
      </c>
      <c r="B30" s="207">
        <v>220000</v>
      </c>
      <c r="C30" s="208">
        <v>211451.51999999999</v>
      </c>
      <c r="D30" s="207">
        <v>210000</v>
      </c>
      <c r="E30" s="209">
        <v>210000</v>
      </c>
      <c r="F30" s="208">
        <v>134752.59</v>
      </c>
      <c r="G30" s="102">
        <v>220000</v>
      </c>
      <c r="H30" s="205">
        <f t="shared" si="0"/>
        <v>104.76190476190477</v>
      </c>
      <c r="I30" s="34"/>
    </row>
    <row r="31" spans="1:10" s="518" customFormat="1" ht="20.100000000000001" customHeight="1" x14ac:dyDescent="0.25">
      <c r="A31" s="206" t="s">
        <v>505</v>
      </c>
      <c r="B31" s="207">
        <v>53000</v>
      </c>
      <c r="C31" s="208">
        <v>55625.93</v>
      </c>
      <c r="D31" s="207">
        <v>63000</v>
      </c>
      <c r="E31" s="209">
        <v>63000</v>
      </c>
      <c r="F31" s="208">
        <v>36928.57</v>
      </c>
      <c r="G31" s="102">
        <v>70000</v>
      </c>
      <c r="H31" s="205">
        <f t="shared" si="0"/>
        <v>111.11111111111111</v>
      </c>
      <c r="I31" s="34"/>
    </row>
    <row r="32" spans="1:10" s="518" customFormat="1" ht="20.100000000000001" customHeight="1" x14ac:dyDescent="0.25">
      <c r="A32" s="206" t="s">
        <v>426</v>
      </c>
      <c r="B32" s="207">
        <v>78913</v>
      </c>
      <c r="C32" s="208">
        <v>73684.7</v>
      </c>
      <c r="D32" s="207">
        <v>105000</v>
      </c>
      <c r="E32" s="209">
        <v>105000</v>
      </c>
      <c r="F32" s="208">
        <v>14682.25</v>
      </c>
      <c r="G32" s="102">
        <v>78000</v>
      </c>
      <c r="H32" s="205">
        <f t="shared" si="0"/>
        <v>74.285714285714292</v>
      </c>
      <c r="I32" s="34"/>
    </row>
    <row r="33" spans="1:10" s="518" customFormat="1" ht="20.100000000000001" customHeight="1" x14ac:dyDescent="0.25">
      <c r="A33" s="206" t="s">
        <v>427</v>
      </c>
      <c r="B33" s="207">
        <v>251886</v>
      </c>
      <c r="C33" s="208">
        <v>193828.51</v>
      </c>
      <c r="D33" s="207">
        <v>297799</v>
      </c>
      <c r="E33" s="209">
        <v>297799</v>
      </c>
      <c r="F33" s="208">
        <v>72705.820000000007</v>
      </c>
      <c r="G33" s="102">
        <v>339000</v>
      </c>
      <c r="H33" s="205">
        <f t="shared" si="0"/>
        <v>113.83517070238651</v>
      </c>
      <c r="I33" s="34"/>
    </row>
    <row r="34" spans="1:10" s="34" customFormat="1" ht="20.100000000000001" customHeight="1" thickBot="1" x14ac:dyDescent="0.3">
      <c r="A34" s="206" t="s">
        <v>60</v>
      </c>
      <c r="B34" s="207">
        <v>0</v>
      </c>
      <c r="C34" s="208">
        <v>1386.12</v>
      </c>
      <c r="D34" s="207">
        <v>0</v>
      </c>
      <c r="E34" s="209">
        <v>248.1</v>
      </c>
      <c r="F34" s="208">
        <v>248.1</v>
      </c>
      <c r="G34" s="102">
        <v>0</v>
      </c>
      <c r="H34" s="205" t="s">
        <v>58</v>
      </c>
    </row>
    <row r="35" spans="1:10" s="34" customFormat="1" ht="20.25" customHeight="1" thickBot="1" x14ac:dyDescent="0.3">
      <c r="A35" s="552" t="s">
        <v>9</v>
      </c>
      <c r="B35" s="553">
        <f t="shared" ref="B35:G35" si="1">SUM(B10:B34)</f>
        <v>47802229.799999997</v>
      </c>
      <c r="C35" s="554">
        <f t="shared" si="1"/>
        <v>50471807.579999998</v>
      </c>
      <c r="D35" s="553">
        <f t="shared" si="1"/>
        <v>50894077.700000003</v>
      </c>
      <c r="E35" s="555">
        <f t="shared" si="1"/>
        <v>52548010.579999991</v>
      </c>
      <c r="F35" s="554">
        <f t="shared" si="1"/>
        <v>41724122.349999994</v>
      </c>
      <c r="G35" s="137">
        <f t="shared" si="1"/>
        <v>50414667.399999999</v>
      </c>
      <c r="H35" s="556">
        <f>G35/D35*100</f>
        <v>99.058023405344059</v>
      </c>
      <c r="I35" s="33"/>
    </row>
    <row r="36" spans="1:10" s="34" customFormat="1" ht="16.5" customHeight="1" thickBot="1" x14ac:dyDescent="0.3">
      <c r="A36" s="165"/>
      <c r="B36" s="33"/>
      <c r="C36" s="33"/>
      <c r="D36" s="33"/>
      <c r="E36" s="33"/>
      <c r="F36" s="33"/>
      <c r="G36" s="33"/>
      <c r="H36" s="166"/>
    </row>
    <row r="37" spans="1:10" s="34" customFormat="1" ht="28.5" customHeight="1" x14ac:dyDescent="0.25">
      <c r="A37" s="1082" t="s">
        <v>10</v>
      </c>
      <c r="B37" s="1083"/>
      <c r="C37" s="1083"/>
      <c r="D37" s="1083"/>
      <c r="E37" s="1083"/>
      <c r="F37" s="1083"/>
      <c r="G37" s="1083"/>
      <c r="H37" s="1084"/>
    </row>
    <row r="38" spans="1:10" s="34" customFormat="1" ht="20.100000000000001" customHeight="1" x14ac:dyDescent="0.25">
      <c r="A38" s="201" t="s">
        <v>90</v>
      </c>
      <c r="B38" s="202">
        <v>0</v>
      </c>
      <c r="C38" s="208">
        <f>-280831.2-C39-C40</f>
        <v>-311128.47000000003</v>
      </c>
      <c r="D38" s="202">
        <v>0</v>
      </c>
      <c r="E38" s="204">
        <f>5877533.73-1738.27</f>
        <v>5875795.4600000009</v>
      </c>
      <c r="F38" s="643">
        <f>-653717.22-F39</f>
        <v>-665420.52</v>
      </c>
      <c r="G38" s="101">
        <v>0</v>
      </c>
      <c r="H38" s="205" t="s">
        <v>58</v>
      </c>
    </row>
    <row r="39" spans="1:10" s="34" customFormat="1" ht="30" customHeight="1" x14ac:dyDescent="0.25">
      <c r="A39" s="201" t="s">
        <v>319</v>
      </c>
      <c r="B39" s="202">
        <v>10000</v>
      </c>
      <c r="C39" s="208">
        <v>10735.27</v>
      </c>
      <c r="D39" s="853">
        <v>10000</v>
      </c>
      <c r="E39" s="204">
        <v>11738.27</v>
      </c>
      <c r="F39" s="643">
        <v>11703.3</v>
      </c>
      <c r="G39" s="101">
        <v>10000</v>
      </c>
      <c r="H39" s="205">
        <f t="shared" ref="H39:H43" si="2">G39/D39*100</f>
        <v>100</v>
      </c>
    </row>
    <row r="40" spans="1:10" s="34" customFormat="1" ht="30" customHeight="1" x14ac:dyDescent="0.25">
      <c r="A40" s="201" t="s">
        <v>438</v>
      </c>
      <c r="B40" s="202">
        <v>19562</v>
      </c>
      <c r="C40" s="208">
        <v>19562</v>
      </c>
      <c r="D40" s="853">
        <v>0</v>
      </c>
      <c r="E40" s="204">
        <v>0</v>
      </c>
      <c r="F40" s="643">
        <v>0</v>
      </c>
      <c r="G40" s="101">
        <v>0</v>
      </c>
      <c r="H40" s="205" t="s">
        <v>58</v>
      </c>
    </row>
    <row r="41" spans="1:10" s="34" customFormat="1" ht="30" customHeight="1" x14ac:dyDescent="0.25">
      <c r="A41" s="807" t="s">
        <v>400</v>
      </c>
      <c r="B41" s="808">
        <v>1006026</v>
      </c>
      <c r="C41" s="809">
        <v>700000</v>
      </c>
      <c r="D41" s="854">
        <v>308428</v>
      </c>
      <c r="E41" s="810">
        <v>639712.13</v>
      </c>
      <c r="F41" s="809">
        <v>350000</v>
      </c>
      <c r="G41" s="806">
        <f>+G59+G54</f>
        <v>0</v>
      </c>
      <c r="H41" s="205">
        <f t="shared" si="2"/>
        <v>0</v>
      </c>
      <c r="I41" s="889"/>
    </row>
    <row r="42" spans="1:10" s="34" customFormat="1" ht="30" customHeight="1" x14ac:dyDescent="0.25">
      <c r="A42" s="679" t="s">
        <v>301</v>
      </c>
      <c r="B42" s="499">
        <v>377022</v>
      </c>
      <c r="C42" s="500">
        <v>0</v>
      </c>
      <c r="D42" s="855">
        <v>444000</v>
      </c>
      <c r="E42" s="501">
        <v>444000</v>
      </c>
      <c r="F42" s="500">
        <v>0</v>
      </c>
      <c r="G42" s="502">
        <f>+G95</f>
        <v>501302</v>
      </c>
      <c r="H42" s="205">
        <f t="shared" si="2"/>
        <v>112.90585585585586</v>
      </c>
    </row>
    <row r="43" spans="1:10" s="99" customFormat="1" ht="30" customHeight="1" thickBot="1" x14ac:dyDescent="0.3">
      <c r="A43" s="681" t="s">
        <v>302</v>
      </c>
      <c r="B43" s="503">
        <v>575227</v>
      </c>
      <c r="C43" s="504">
        <v>0</v>
      </c>
      <c r="D43" s="856">
        <v>944700</v>
      </c>
      <c r="E43" s="505">
        <v>944700</v>
      </c>
      <c r="F43" s="504">
        <v>0</v>
      </c>
      <c r="G43" s="506">
        <f>+G112</f>
        <v>1795287</v>
      </c>
      <c r="H43" s="205">
        <f t="shared" si="2"/>
        <v>190.0377897745316</v>
      </c>
      <c r="I43" s="34"/>
    </row>
    <row r="44" spans="1:10" s="34" customFormat="1" ht="20.25" customHeight="1" thickBot="1" x14ac:dyDescent="0.3">
      <c r="A44" s="193" t="s">
        <v>11</v>
      </c>
      <c r="B44" s="194">
        <f t="shared" ref="B44:G44" si="3">SUM(B35:B43)</f>
        <v>49790066.799999997</v>
      </c>
      <c r="C44" s="195">
        <f t="shared" si="3"/>
        <v>50890976.380000003</v>
      </c>
      <c r="D44" s="194">
        <f t="shared" si="3"/>
        <v>52601205.700000003</v>
      </c>
      <c r="E44" s="196">
        <f t="shared" si="3"/>
        <v>60463956.439999998</v>
      </c>
      <c r="F44" s="195">
        <f t="shared" si="3"/>
        <v>41420405.129999988</v>
      </c>
      <c r="G44" s="137">
        <f t="shared" si="3"/>
        <v>52721256.399999999</v>
      </c>
      <c r="H44" s="816">
        <f>G44/D44*100</f>
        <v>100.22822803850673</v>
      </c>
      <c r="I44" s="33"/>
    </row>
    <row r="45" spans="1:10" ht="20.100000000000001" customHeight="1" thickBot="1" x14ac:dyDescent="0.3">
      <c r="B45" s="33"/>
      <c r="C45" s="33"/>
      <c r="D45" s="33"/>
      <c r="E45" s="33"/>
      <c r="F45" s="33"/>
      <c r="G45" s="33"/>
      <c r="H45" s="166"/>
    </row>
    <row r="46" spans="1:10" ht="20.100000000000001" customHeight="1" x14ac:dyDescent="0.25">
      <c r="A46" s="1079" t="s">
        <v>12</v>
      </c>
      <c r="B46" s="1080"/>
      <c r="C46" s="1080"/>
      <c r="D46" s="1080"/>
      <c r="E46" s="1080"/>
      <c r="F46" s="1080"/>
      <c r="G46" s="1080"/>
      <c r="H46" s="1081"/>
    </row>
    <row r="47" spans="1:10" ht="20.100000000000001" customHeight="1" x14ac:dyDescent="0.25">
      <c r="A47" s="213" t="s">
        <v>13</v>
      </c>
      <c r="B47" s="214">
        <f>+'Běžné výdaje kapitol'!B35</f>
        <v>12438008</v>
      </c>
      <c r="C47" s="215">
        <f>+'Běžné výdaje kapitol'!C35</f>
        <v>12772568.229999999</v>
      </c>
      <c r="D47" s="214">
        <v>13044246</v>
      </c>
      <c r="E47" s="216">
        <f>+'Běžné výdaje kapitol'!E35</f>
        <v>14370096.720000001</v>
      </c>
      <c r="F47" s="216">
        <f>+'Běžné výdaje kapitol'!F35</f>
        <v>10834559.649999999</v>
      </c>
      <c r="G47" s="101">
        <f>+'Běžné výdaje kapitol'!G32</f>
        <v>15409679</v>
      </c>
      <c r="H47" s="221">
        <f>G47/D47*100</f>
        <v>118.13391897086272</v>
      </c>
      <c r="I47" s="827"/>
      <c r="J47" s="294"/>
    </row>
    <row r="48" spans="1:10" ht="20.100000000000001" customHeight="1" x14ac:dyDescent="0.25">
      <c r="A48" s="213" t="s">
        <v>49</v>
      </c>
      <c r="B48" s="214">
        <f>+Fondy!C27</f>
        <v>924400</v>
      </c>
      <c r="C48" s="215">
        <f>+Fondy!D27</f>
        <v>838920.89</v>
      </c>
      <c r="D48" s="214">
        <v>790400</v>
      </c>
      <c r="E48" s="216">
        <f>+Fondy!F27</f>
        <v>1348941.1099999999</v>
      </c>
      <c r="F48" s="216">
        <f>+Fondy!G27</f>
        <v>455282.52</v>
      </c>
      <c r="G48" s="101">
        <f>+Fondy!H27</f>
        <v>965000</v>
      </c>
      <c r="H48" s="221">
        <f>G48/D48*100</f>
        <v>122.09008097165992</v>
      </c>
      <c r="I48" s="827"/>
    </row>
    <row r="49" spans="1:13" ht="20.100000000000001" customHeight="1" x14ac:dyDescent="0.25">
      <c r="A49" s="213" t="s">
        <v>50</v>
      </c>
      <c r="B49" s="214">
        <v>10000</v>
      </c>
      <c r="C49" s="215">
        <v>839.46</v>
      </c>
      <c r="D49" s="214">
        <v>10000</v>
      </c>
      <c r="E49" s="216">
        <v>11738.27</v>
      </c>
      <c r="F49" s="215">
        <v>34.97</v>
      </c>
      <c r="G49" s="101">
        <v>10000</v>
      </c>
      <c r="H49" s="221">
        <f t="shared" ref="H49:H69" si="4">G49/D49*100</f>
        <v>100</v>
      </c>
      <c r="I49" s="827"/>
    </row>
    <row r="50" spans="1:13" ht="20.100000000000001" customHeight="1" x14ac:dyDescent="0.25">
      <c r="A50" s="213" t="s">
        <v>235</v>
      </c>
      <c r="B50" s="214">
        <v>20000</v>
      </c>
      <c r="C50" s="215">
        <v>0</v>
      </c>
      <c r="D50" s="214">
        <v>20000</v>
      </c>
      <c r="E50" s="216">
        <v>10082.91</v>
      </c>
      <c r="F50" s="215">
        <v>0</v>
      </c>
      <c r="G50" s="101">
        <v>20000</v>
      </c>
      <c r="H50" s="221">
        <f t="shared" si="4"/>
        <v>100</v>
      </c>
      <c r="I50" s="827"/>
    </row>
    <row r="51" spans="1:13" s="621" customFormat="1" ht="29.85" customHeight="1" x14ac:dyDescent="0.25">
      <c r="A51" s="213" t="s">
        <v>236</v>
      </c>
      <c r="B51" s="214">
        <v>0</v>
      </c>
      <c r="C51" s="671">
        <v>23857.49</v>
      </c>
      <c r="D51" s="214">
        <v>0</v>
      </c>
      <c r="E51" s="216">
        <v>8791.74</v>
      </c>
      <c r="F51" s="215">
        <v>8791.74</v>
      </c>
      <c r="G51" s="101">
        <v>0</v>
      </c>
      <c r="H51" s="221" t="s">
        <v>58</v>
      </c>
      <c r="I51" s="827"/>
    </row>
    <row r="52" spans="1:13" s="621" customFormat="1" ht="20.100000000000001" customHeight="1" x14ac:dyDescent="0.25">
      <c r="A52" s="213" t="s">
        <v>314</v>
      </c>
      <c r="B52" s="214">
        <v>40000</v>
      </c>
      <c r="C52" s="672">
        <v>293683.96000000002</v>
      </c>
      <c r="D52" s="214">
        <v>40000</v>
      </c>
      <c r="E52" s="216">
        <f>+'Kapitálové výdaje '!F26</f>
        <v>374451.12</v>
      </c>
      <c r="F52" s="216">
        <f>+'Kapitálové výdaje '!G26</f>
        <v>182305.5</v>
      </c>
      <c r="G52" s="101">
        <f>+'Kapitálové výdaje v kapitolách'!D11</f>
        <v>50000</v>
      </c>
      <c r="H52" s="221">
        <f t="shared" si="4"/>
        <v>125</v>
      </c>
      <c r="I52" s="827"/>
    </row>
    <row r="53" spans="1:13" s="622" customFormat="1" ht="28.8" x14ac:dyDescent="0.25">
      <c r="A53" s="213" t="s">
        <v>325</v>
      </c>
      <c r="B53" s="214">
        <v>925000</v>
      </c>
      <c r="C53" s="672">
        <v>1891409.61</v>
      </c>
      <c r="D53" s="214">
        <v>1170000</v>
      </c>
      <c r="E53" s="216">
        <f>+'Kapitálové výdaje '!F27</f>
        <v>2628325.0299999998</v>
      </c>
      <c r="F53" s="216">
        <f>+'Kapitálové výdaje '!G27</f>
        <v>834068.33</v>
      </c>
      <c r="G53" s="101">
        <v>960000</v>
      </c>
      <c r="H53" s="221">
        <f t="shared" si="4"/>
        <v>82.051282051282044</v>
      </c>
      <c r="I53" s="827"/>
    </row>
    <row r="54" spans="1:13" s="621" customFormat="1" ht="29.85" customHeight="1" x14ac:dyDescent="0.25">
      <c r="A54" s="811" t="s">
        <v>251</v>
      </c>
      <c r="B54" s="812">
        <v>951491</v>
      </c>
      <c r="C54" s="813">
        <v>803615.51</v>
      </c>
      <c r="D54" s="812">
        <v>157390</v>
      </c>
      <c r="E54" s="814">
        <f>+'Kapitálové výdaje '!F28</f>
        <v>390336.23</v>
      </c>
      <c r="F54" s="814">
        <f>+'Kapitálové výdaje '!G28</f>
        <v>102695.15</v>
      </c>
      <c r="G54" s="806">
        <f>+'Kapitálové výdaje '!H28</f>
        <v>0</v>
      </c>
      <c r="H54" s="221">
        <f t="shared" si="4"/>
        <v>0</v>
      </c>
      <c r="I54" s="784"/>
    </row>
    <row r="55" spans="1:13" ht="30" customHeight="1" x14ac:dyDescent="0.25">
      <c r="A55" s="680" t="s">
        <v>339</v>
      </c>
      <c r="B55" s="574">
        <v>0</v>
      </c>
      <c r="C55" s="673">
        <v>442501.97</v>
      </c>
      <c r="D55" s="574">
        <v>0</v>
      </c>
      <c r="E55" s="576">
        <v>6478.88</v>
      </c>
      <c r="F55" s="575">
        <v>786.32</v>
      </c>
      <c r="G55" s="502">
        <v>0</v>
      </c>
      <c r="H55" s="221" t="s">
        <v>58</v>
      </c>
      <c r="I55" s="827"/>
    </row>
    <row r="56" spans="1:13" ht="30" customHeight="1" x14ac:dyDescent="0.25">
      <c r="A56" s="682" t="s">
        <v>295</v>
      </c>
      <c r="B56" s="577">
        <v>50420</v>
      </c>
      <c r="C56" s="578">
        <v>36535.089999999997</v>
      </c>
      <c r="D56" s="577">
        <v>0</v>
      </c>
      <c r="E56" s="579">
        <v>45383.839999999997</v>
      </c>
      <c r="F56" s="578">
        <v>27074.01</v>
      </c>
      <c r="G56" s="506">
        <v>0</v>
      </c>
      <c r="H56" s="221" t="s">
        <v>58</v>
      </c>
      <c r="I56" s="827"/>
    </row>
    <row r="57" spans="1:13" ht="30" customHeight="1" x14ac:dyDescent="0.25">
      <c r="A57" s="680" t="s">
        <v>340</v>
      </c>
      <c r="B57" s="574">
        <v>966791</v>
      </c>
      <c r="C57" s="575">
        <v>798574.24</v>
      </c>
      <c r="D57" s="574">
        <v>1137400</v>
      </c>
      <c r="E57" s="576">
        <v>3035211.14</v>
      </c>
      <c r="F57" s="575">
        <v>952396.91</v>
      </c>
      <c r="G57" s="502">
        <f>+'Projekty EU a NZ'!D25+'Projekty EU a NZ'!D47</f>
        <v>960600</v>
      </c>
      <c r="H57" s="221">
        <f t="shared" si="4"/>
        <v>84.455776331985234</v>
      </c>
      <c r="I57" s="200"/>
      <c r="J57" s="200"/>
      <c r="L57" s="293"/>
    </row>
    <row r="58" spans="1:13" ht="30" customHeight="1" x14ac:dyDescent="0.25">
      <c r="A58" s="682" t="s">
        <v>296</v>
      </c>
      <c r="B58" s="577">
        <v>761474</v>
      </c>
      <c r="C58" s="578">
        <v>237140.15</v>
      </c>
      <c r="D58" s="577">
        <v>1142000</v>
      </c>
      <c r="E58" s="579">
        <v>1592771.96</v>
      </c>
      <c r="F58" s="578">
        <v>199471.8</v>
      </c>
      <c r="G58" s="506">
        <f>+'Projekty EU a NZ'!B47+'Projekty EU a NZ'!C47+'Projekty EU a NZ'!B25+'Projekty EU a NZ'!C25+'Projekty EU a NZ'!G25+'Projekty EU a NZ'!G47</f>
        <v>1798341</v>
      </c>
      <c r="H58" s="221">
        <f t="shared" si="4"/>
        <v>157.47294220665501</v>
      </c>
      <c r="J58" s="200"/>
      <c r="L58" s="294"/>
      <c r="M58" s="294"/>
    </row>
    <row r="59" spans="1:13" ht="30" customHeight="1" x14ac:dyDescent="0.25">
      <c r="A59" s="811" t="s">
        <v>300</v>
      </c>
      <c r="B59" s="812">
        <v>54535</v>
      </c>
      <c r="C59" s="815">
        <f>219.36+3024.3</f>
        <v>3243.6600000000003</v>
      </c>
      <c r="D59" s="812">
        <v>151038</v>
      </c>
      <c r="E59" s="814">
        <f>+'Kapitálové výdaje '!F30</f>
        <v>151038</v>
      </c>
      <c r="F59" s="814">
        <f>+'Kapitálové výdaje '!G30</f>
        <v>481.27</v>
      </c>
      <c r="G59" s="806">
        <f>+'Projekty EU a NZ'!F25+'Projekty EU a NZ'!F47</f>
        <v>0</v>
      </c>
      <c r="H59" s="221">
        <f t="shared" si="4"/>
        <v>0</v>
      </c>
      <c r="L59" s="294"/>
    </row>
    <row r="60" spans="1:13" ht="20.100000000000001" customHeight="1" x14ac:dyDescent="0.25">
      <c r="A60" s="680" t="s">
        <v>392</v>
      </c>
      <c r="B60" s="574">
        <v>78063</v>
      </c>
      <c r="C60" s="575">
        <v>30337.43</v>
      </c>
      <c r="D60" s="574">
        <v>168600</v>
      </c>
      <c r="E60" s="576">
        <v>178101.09</v>
      </c>
      <c r="F60" s="575">
        <v>87164.61</v>
      </c>
      <c r="G60" s="502">
        <f>+'Projekty EU a NZ'!D68</f>
        <v>170378</v>
      </c>
      <c r="H60" s="221">
        <f t="shared" si="4"/>
        <v>101.05456702253855</v>
      </c>
      <c r="I60" s="200"/>
      <c r="J60" s="200"/>
    </row>
    <row r="61" spans="1:13" ht="30.75" customHeight="1" x14ac:dyDescent="0.25">
      <c r="A61" s="682" t="s">
        <v>294</v>
      </c>
      <c r="B61" s="577">
        <v>213333</v>
      </c>
      <c r="C61" s="578">
        <v>109383.38</v>
      </c>
      <c r="D61" s="577">
        <v>302700</v>
      </c>
      <c r="E61" s="579">
        <v>421338.32</v>
      </c>
      <c r="F61" s="578">
        <v>50650.45</v>
      </c>
      <c r="G61" s="506">
        <f>+'Projekty EU a NZ'!B68+'Projekty EU a NZ'!C68+'Projekty EU a NZ'!G68</f>
        <v>496946</v>
      </c>
      <c r="H61" s="221">
        <f t="shared" si="4"/>
        <v>164.17112652791545</v>
      </c>
      <c r="J61" s="200"/>
    </row>
    <row r="62" spans="1:13" ht="20.100000000000001" customHeight="1" x14ac:dyDescent="0.25">
      <c r="A62" s="213" t="s">
        <v>343</v>
      </c>
      <c r="B62" s="214">
        <v>126600.8</v>
      </c>
      <c r="C62" s="215">
        <v>0</v>
      </c>
      <c r="D62" s="214">
        <v>129695.7</v>
      </c>
      <c r="E62" s="216">
        <v>414600.97</v>
      </c>
      <c r="F62" s="215">
        <v>0</v>
      </c>
      <c r="G62" s="101">
        <v>143677.4</v>
      </c>
      <c r="H62" s="221">
        <f t="shared" si="4"/>
        <v>110.78038824725877</v>
      </c>
      <c r="I62" s="827"/>
      <c r="J62" s="294"/>
    </row>
    <row r="63" spans="1:13" s="34" customFormat="1" ht="20.100000000000001" customHeight="1" x14ac:dyDescent="0.25">
      <c r="A63" s="213" t="s">
        <v>237</v>
      </c>
      <c r="B63" s="214">
        <v>0</v>
      </c>
      <c r="C63" s="215">
        <v>0</v>
      </c>
      <c r="D63" s="214">
        <v>0</v>
      </c>
      <c r="E63" s="216">
        <v>72432.789999999994</v>
      </c>
      <c r="F63" s="215">
        <v>0</v>
      </c>
      <c r="G63" s="101">
        <v>0</v>
      </c>
      <c r="H63" s="221" t="s">
        <v>58</v>
      </c>
      <c r="I63" s="827"/>
    </row>
    <row r="64" spans="1:13" ht="20.100000000000001" customHeight="1" x14ac:dyDescent="0.25">
      <c r="A64" s="213" t="s">
        <v>238</v>
      </c>
      <c r="B64" s="214">
        <v>369294</v>
      </c>
      <c r="C64" s="215">
        <v>0</v>
      </c>
      <c r="D64" s="214">
        <v>412759</v>
      </c>
      <c r="E64" s="216">
        <v>438493.05</v>
      </c>
      <c r="F64" s="215">
        <v>0</v>
      </c>
      <c r="G64" s="101">
        <f>+'Specifické rezervy'!D12</f>
        <v>222101</v>
      </c>
      <c r="H64" s="221">
        <f t="shared" si="4"/>
        <v>53.808881211554436</v>
      </c>
      <c r="I64" s="827"/>
    </row>
    <row r="65" spans="1:9" ht="20.100000000000001" customHeight="1" x14ac:dyDescent="0.25">
      <c r="A65" s="213" t="s">
        <v>309</v>
      </c>
      <c r="B65" s="214">
        <v>238874</v>
      </c>
      <c r="C65" s="215">
        <f>+'Dluhová služba '!F26</f>
        <v>164390.31</v>
      </c>
      <c r="D65" s="214">
        <v>159323</v>
      </c>
      <c r="E65" s="216">
        <v>189323</v>
      </c>
      <c r="F65" s="216">
        <v>66670.600000000006</v>
      </c>
      <c r="G65" s="101">
        <f>+'Dluhová služba '!J26</f>
        <v>306807</v>
      </c>
      <c r="H65" s="221">
        <f t="shared" si="4"/>
        <v>192.56918335707965</v>
      </c>
      <c r="I65" s="827"/>
    </row>
    <row r="66" spans="1:9" ht="20.100000000000001" customHeight="1" x14ac:dyDescent="0.25">
      <c r="A66" s="213" t="s">
        <v>310</v>
      </c>
      <c r="B66" s="214">
        <v>191105</v>
      </c>
      <c r="C66" s="215">
        <v>190457.59</v>
      </c>
      <c r="D66" s="214">
        <v>120546</v>
      </c>
      <c r="E66" s="216">
        <v>120546</v>
      </c>
      <c r="F66" s="216">
        <v>110888</v>
      </c>
      <c r="G66" s="101">
        <v>0</v>
      </c>
      <c r="H66" s="221">
        <f t="shared" si="4"/>
        <v>0</v>
      </c>
      <c r="I66" s="827"/>
    </row>
    <row r="67" spans="1:9" ht="20.100000000000001" customHeight="1" x14ac:dyDescent="0.25">
      <c r="A67" s="213" t="s">
        <v>51</v>
      </c>
      <c r="B67" s="214">
        <v>27760000</v>
      </c>
      <c r="C67" s="215">
        <v>26065050.68</v>
      </c>
      <c r="D67" s="214">
        <v>29816000</v>
      </c>
      <c r="E67" s="216">
        <v>28975906.100000001</v>
      </c>
      <c r="F67" s="215">
        <v>19807629.879999999</v>
      </c>
      <c r="G67" s="101">
        <f>+G26</f>
        <v>27033000</v>
      </c>
      <c r="H67" s="221">
        <f t="shared" si="4"/>
        <v>90.666085323316338</v>
      </c>
      <c r="I67" s="827"/>
    </row>
    <row r="68" spans="1:9" ht="20.100000000000001" customHeight="1" x14ac:dyDescent="0.25">
      <c r="A68" s="213" t="s">
        <v>429</v>
      </c>
      <c r="B68" s="214">
        <v>642754</v>
      </c>
      <c r="C68" s="215">
        <v>642754.94999999995</v>
      </c>
      <c r="D68" s="214">
        <v>711529</v>
      </c>
      <c r="E68" s="216">
        <v>711529.73</v>
      </c>
      <c r="F68" s="215">
        <v>533646</v>
      </c>
      <c r="G68" s="101">
        <f>+G27</f>
        <v>729000</v>
      </c>
      <c r="H68" s="221">
        <f t="shared" si="4"/>
        <v>102.45541643418609</v>
      </c>
      <c r="I68" s="827"/>
    </row>
    <row r="69" spans="1:9" ht="20.100000000000001" customHeight="1" x14ac:dyDescent="0.25">
      <c r="A69" s="213" t="s">
        <v>445</v>
      </c>
      <c r="B69" s="214">
        <v>2741336</v>
      </c>
      <c r="C69" s="215">
        <v>2734328.25</v>
      </c>
      <c r="D69" s="214">
        <v>2842800</v>
      </c>
      <c r="E69" s="216">
        <v>2855645.27</v>
      </c>
      <c r="F69" s="215">
        <v>2785002.88</v>
      </c>
      <c r="G69" s="101">
        <f>+G28</f>
        <v>3144410</v>
      </c>
      <c r="H69" s="221">
        <f t="shared" si="4"/>
        <v>110.60961024342197</v>
      </c>
      <c r="I69" s="827"/>
    </row>
    <row r="70" spans="1:9" s="99" customFormat="1" ht="20.100000000000001" customHeight="1" x14ac:dyDescent="0.25">
      <c r="A70" s="213" t="s">
        <v>62</v>
      </c>
      <c r="B70" s="214">
        <v>0</v>
      </c>
      <c r="C70" s="215">
        <v>1958931.09</v>
      </c>
      <c r="D70" s="214">
        <v>0</v>
      </c>
      <c r="E70" s="216">
        <f>34021437.46-E67-E68-E69</f>
        <v>1478356.3599999989</v>
      </c>
      <c r="F70" s="216">
        <f>23799780.45-F67-F68-F69</f>
        <v>673501.69000000041</v>
      </c>
      <c r="G70" s="101">
        <v>0</v>
      </c>
      <c r="H70" s="221" t="s">
        <v>58</v>
      </c>
      <c r="I70" s="34"/>
    </row>
    <row r="71" spans="1:9" s="34" customFormat="1" ht="20.100000000000001" customHeight="1" thickBot="1" x14ac:dyDescent="0.3">
      <c r="A71" s="213" t="s">
        <v>63</v>
      </c>
      <c r="B71" s="214">
        <v>0</v>
      </c>
      <c r="C71" s="215">
        <v>511315.14</v>
      </c>
      <c r="D71" s="214">
        <v>0</v>
      </c>
      <c r="E71" s="216">
        <v>359257.81</v>
      </c>
      <c r="F71" s="215">
        <v>359261.82</v>
      </c>
      <c r="G71" s="101">
        <v>0</v>
      </c>
      <c r="H71" s="221" t="s">
        <v>58</v>
      </c>
    </row>
    <row r="72" spans="1:9" ht="20.25" customHeight="1" thickBot="1" x14ac:dyDescent="0.3">
      <c r="A72" s="557" t="s">
        <v>14</v>
      </c>
      <c r="B72" s="558">
        <f t="shared" ref="B72:G72" si="5">SUM(B47:B71)</f>
        <v>49503478.799999997</v>
      </c>
      <c r="C72" s="559">
        <f t="shared" si="5"/>
        <v>50549839.079999998</v>
      </c>
      <c r="D72" s="558">
        <f t="shared" si="5"/>
        <v>52326426.700000003</v>
      </c>
      <c r="E72" s="560">
        <f t="shared" si="5"/>
        <v>60189177.439999998</v>
      </c>
      <c r="F72" s="559">
        <f t="shared" si="5"/>
        <v>38072364.099999994</v>
      </c>
      <c r="G72" s="137">
        <f t="shared" si="5"/>
        <v>52419939.399999999</v>
      </c>
      <c r="H72" s="561">
        <f>G72/D72*100</f>
        <v>100.17871027298715</v>
      </c>
      <c r="I72" s="200"/>
    </row>
    <row r="73" spans="1:9" ht="15.75" customHeight="1" thickBot="1" x14ac:dyDescent="0.3">
      <c r="B73" s="33"/>
      <c r="C73" s="33"/>
      <c r="D73" s="33"/>
      <c r="E73" s="33"/>
      <c r="F73" s="33"/>
      <c r="G73" s="33"/>
      <c r="H73" s="166"/>
    </row>
    <row r="74" spans="1:9" s="523" customFormat="1" ht="15.6" x14ac:dyDescent="0.25">
      <c r="A74" s="1079" t="s">
        <v>15</v>
      </c>
      <c r="B74" s="1080"/>
      <c r="C74" s="1080"/>
      <c r="D74" s="1080"/>
      <c r="E74" s="1080"/>
      <c r="F74" s="1080"/>
      <c r="G74" s="1080"/>
      <c r="H74" s="1081"/>
      <c r="I74" s="522"/>
    </row>
    <row r="75" spans="1:9" s="523" customFormat="1" ht="30" customHeight="1" x14ac:dyDescent="0.25">
      <c r="A75" s="213" t="s">
        <v>304</v>
      </c>
      <c r="B75" s="214">
        <v>239487</v>
      </c>
      <c r="C75" s="215">
        <v>239486.82</v>
      </c>
      <c r="D75" s="214">
        <v>239487</v>
      </c>
      <c r="E75" s="216">
        <f>+'Dluhová služba '!H10</f>
        <v>239487</v>
      </c>
      <c r="F75" s="216">
        <f>+'Dluhová služba '!I10</f>
        <v>179615.11</v>
      </c>
      <c r="G75" s="101">
        <f>+'Dluhová služba '!J10</f>
        <v>239487</v>
      </c>
      <c r="H75" s="222">
        <f>G75/D75*100</f>
        <v>100</v>
      </c>
      <c r="I75" s="522"/>
    </row>
    <row r="76" spans="1:9" s="523" customFormat="1" ht="30" customHeight="1" x14ac:dyDescent="0.25">
      <c r="A76" s="217" t="s">
        <v>305</v>
      </c>
      <c r="B76" s="218">
        <v>39070</v>
      </c>
      <c r="C76" s="219">
        <v>39070</v>
      </c>
      <c r="D76" s="218">
        <v>0</v>
      </c>
      <c r="E76" s="220">
        <v>0</v>
      </c>
      <c r="F76" s="219">
        <v>0</v>
      </c>
      <c r="G76" s="102">
        <f>+'Dluhová služba '!J13</f>
        <v>0</v>
      </c>
      <c r="H76" s="222" t="s">
        <v>58</v>
      </c>
      <c r="I76" s="522"/>
    </row>
    <row r="77" spans="1:9" s="523" customFormat="1" ht="30" customHeight="1" x14ac:dyDescent="0.25">
      <c r="A77" s="217" t="s">
        <v>439</v>
      </c>
      <c r="B77" s="218">
        <v>8031</v>
      </c>
      <c r="C77" s="219">
        <v>8030.3</v>
      </c>
      <c r="D77" s="218">
        <v>35292</v>
      </c>
      <c r="E77" s="220">
        <f>+'Dluhová služba '!H16</f>
        <v>35292</v>
      </c>
      <c r="F77" s="220">
        <f>+'Dluhová služba '!I16</f>
        <v>14440.56</v>
      </c>
      <c r="G77" s="102">
        <f>+'Dluhová služba '!J16</f>
        <v>61830</v>
      </c>
      <c r="H77" s="222">
        <f t="shared" ref="H77" si="6">G77/D77*100</f>
        <v>175.19551173070386</v>
      </c>
      <c r="I77" s="522"/>
    </row>
    <row r="78" spans="1:9" s="523" customFormat="1" ht="20.100000000000001" customHeight="1" x14ac:dyDescent="0.25">
      <c r="A78" s="217" t="s">
        <v>368</v>
      </c>
      <c r="B78" s="218">
        <v>0</v>
      </c>
      <c r="C78" s="219">
        <v>0</v>
      </c>
      <c r="D78" s="218">
        <v>0</v>
      </c>
      <c r="E78" s="220">
        <v>0</v>
      </c>
      <c r="F78" s="219">
        <v>3153329.92</v>
      </c>
      <c r="G78" s="102">
        <v>0</v>
      </c>
      <c r="H78" s="222" t="s">
        <v>58</v>
      </c>
      <c r="I78" s="522"/>
    </row>
    <row r="79" spans="1:9" s="518" customFormat="1" ht="20.25" customHeight="1" thickBot="1" x14ac:dyDescent="0.3">
      <c r="A79" s="217" t="s">
        <v>213</v>
      </c>
      <c r="B79" s="218">
        <v>0</v>
      </c>
      <c r="C79" s="219">
        <v>54550.18</v>
      </c>
      <c r="D79" s="218">
        <v>0</v>
      </c>
      <c r="E79" s="220">
        <v>0</v>
      </c>
      <c r="F79" s="219">
        <v>655.44</v>
      </c>
      <c r="G79" s="102">
        <v>0</v>
      </c>
      <c r="H79" s="222" t="s">
        <v>58</v>
      </c>
      <c r="I79" s="34"/>
    </row>
    <row r="80" spans="1:9" ht="20.25" customHeight="1" thickBot="1" x14ac:dyDescent="0.3">
      <c r="A80" s="193" t="s">
        <v>14</v>
      </c>
      <c r="B80" s="194">
        <f t="shared" ref="B80:G80" si="7">SUM(B72:B79)</f>
        <v>49790066.799999997</v>
      </c>
      <c r="C80" s="195">
        <f t="shared" si="7"/>
        <v>50890976.379999995</v>
      </c>
      <c r="D80" s="194">
        <f t="shared" si="7"/>
        <v>52601205.700000003</v>
      </c>
      <c r="E80" s="196">
        <f t="shared" si="7"/>
        <v>60463956.439999998</v>
      </c>
      <c r="F80" s="195">
        <f t="shared" si="7"/>
        <v>41420405.129999995</v>
      </c>
      <c r="G80" s="137">
        <f t="shared" si="7"/>
        <v>52721256.399999999</v>
      </c>
      <c r="H80" s="816">
        <f>G80/D80*100</f>
        <v>100.22822803850673</v>
      </c>
    </row>
    <row r="81" spans="1:9" s="523" customFormat="1" ht="9.9" customHeight="1" thickBot="1" x14ac:dyDescent="0.3">
      <c r="A81" s="165"/>
      <c r="B81" s="33"/>
      <c r="C81" s="33"/>
      <c r="D81" s="33"/>
      <c r="E81" s="33"/>
      <c r="F81" s="33"/>
      <c r="G81" s="33"/>
      <c r="H81" s="166"/>
      <c r="I81" s="522"/>
    </row>
    <row r="82" spans="1:9" s="523" customFormat="1" ht="30" customHeight="1" thickBot="1" x14ac:dyDescent="0.3">
      <c r="A82" s="193" t="s">
        <v>17</v>
      </c>
      <c r="B82" s="194">
        <f t="shared" ref="B82:G82" si="8">B44-B80</f>
        <v>0</v>
      </c>
      <c r="C82" s="195">
        <f t="shared" si="8"/>
        <v>0</v>
      </c>
      <c r="D82" s="194">
        <f t="shared" si="8"/>
        <v>0</v>
      </c>
      <c r="E82" s="196">
        <f t="shared" si="8"/>
        <v>0</v>
      </c>
      <c r="F82" s="196">
        <f t="shared" si="8"/>
        <v>0</v>
      </c>
      <c r="G82" s="137">
        <f t="shared" si="8"/>
        <v>0</v>
      </c>
      <c r="H82" s="197" t="s">
        <v>58</v>
      </c>
      <c r="I82" s="522"/>
    </row>
    <row r="83" spans="1:9" s="523" customFormat="1" ht="18" customHeight="1" x14ac:dyDescent="0.25">
      <c r="A83" s="623"/>
      <c r="B83" s="519"/>
      <c r="C83" s="519"/>
      <c r="D83" s="33"/>
      <c r="E83" s="519"/>
      <c r="F83" s="519"/>
      <c r="G83" s="200"/>
      <c r="H83" s="624"/>
      <c r="I83" s="522"/>
    </row>
    <row r="84" spans="1:9" s="518" customFormat="1" ht="20.25" customHeight="1" x14ac:dyDescent="0.25">
      <c r="A84" s="165"/>
      <c r="B84" s="519"/>
      <c r="C84" s="519"/>
      <c r="D84" s="519"/>
      <c r="E84" s="519"/>
      <c r="F84" s="519"/>
      <c r="G84" s="200"/>
      <c r="H84" s="624"/>
      <c r="I84" s="34"/>
    </row>
    <row r="85" spans="1:9" s="523" customFormat="1" ht="20.25" customHeight="1" thickBot="1" x14ac:dyDescent="0.3">
      <c r="A85" s="99" t="s">
        <v>398</v>
      </c>
      <c r="B85" s="519"/>
      <c r="C85" s="519"/>
      <c r="D85" s="519"/>
      <c r="E85" s="519"/>
      <c r="F85" s="519"/>
      <c r="H85" s="166" t="s">
        <v>0</v>
      </c>
      <c r="I85" s="522"/>
    </row>
    <row r="86" spans="1:9" s="523" customFormat="1" ht="15" customHeight="1" x14ac:dyDescent="0.25">
      <c r="A86" s="1075" t="s">
        <v>1</v>
      </c>
      <c r="B86" s="1060" t="s">
        <v>402</v>
      </c>
      <c r="C86" s="1061"/>
      <c r="D86" s="1060" t="s">
        <v>450</v>
      </c>
      <c r="E86" s="1064"/>
      <c r="F86" s="1061"/>
      <c r="G86" s="1065" t="s">
        <v>507</v>
      </c>
      <c r="H86" s="1077" t="s">
        <v>508</v>
      </c>
      <c r="I86" s="522"/>
    </row>
    <row r="87" spans="1:9" s="523" customFormat="1" ht="30.9" customHeight="1" thickBot="1" x14ac:dyDescent="0.3">
      <c r="A87" s="1076"/>
      <c r="B87" s="236" t="s">
        <v>103</v>
      </c>
      <c r="C87" s="835" t="s">
        <v>518</v>
      </c>
      <c r="D87" s="236" t="s">
        <v>103</v>
      </c>
      <c r="E87" s="237" t="s">
        <v>556</v>
      </c>
      <c r="F87" s="238" t="s">
        <v>559</v>
      </c>
      <c r="G87" s="1066"/>
      <c r="H87" s="1078"/>
      <c r="I87" s="522"/>
    </row>
    <row r="88" spans="1:9" s="523" customFormat="1" ht="20.100000000000001" customHeight="1" x14ac:dyDescent="0.25">
      <c r="A88" s="1072" t="s">
        <v>364</v>
      </c>
      <c r="B88" s="1073"/>
      <c r="C88" s="1073"/>
      <c r="D88" s="1073"/>
      <c r="E88" s="1073"/>
      <c r="F88" s="1073"/>
      <c r="G88" s="1073"/>
      <c r="H88" s="1074"/>
      <c r="I88" s="522"/>
    </row>
    <row r="89" spans="1:9" s="523" customFormat="1" ht="20.100000000000001" customHeight="1" x14ac:dyDescent="0.25">
      <c r="A89" s="201" t="s">
        <v>3</v>
      </c>
      <c r="B89" s="202">
        <v>0</v>
      </c>
      <c r="C89" s="788">
        <v>0</v>
      </c>
      <c r="D89" s="202">
        <v>0</v>
      </c>
      <c r="E89" s="204">
        <v>0</v>
      </c>
      <c r="F89" s="203">
        <v>0</v>
      </c>
      <c r="G89" s="101">
        <v>0</v>
      </c>
      <c r="H89" s="205" t="s">
        <v>58</v>
      </c>
      <c r="I89" s="522"/>
    </row>
    <row r="90" spans="1:9" s="523" customFormat="1" ht="19.2" customHeight="1" x14ac:dyDescent="0.25">
      <c r="A90" s="201" t="s">
        <v>484</v>
      </c>
      <c r="B90" s="202">
        <f t="shared" ref="B90:G90" si="9">+B18</f>
        <v>0</v>
      </c>
      <c r="C90" s="788">
        <f t="shared" si="9"/>
        <v>462538.23</v>
      </c>
      <c r="D90" s="202">
        <f t="shared" si="9"/>
        <v>497700</v>
      </c>
      <c r="E90" s="204">
        <f t="shared" si="9"/>
        <v>497700</v>
      </c>
      <c r="F90" s="203">
        <f t="shared" si="9"/>
        <v>73169.960000000006</v>
      </c>
      <c r="G90" s="101">
        <f t="shared" si="9"/>
        <v>468500</v>
      </c>
      <c r="H90" s="205">
        <f>G90/D90*100</f>
        <v>94.133011854530849</v>
      </c>
      <c r="I90" s="522"/>
    </row>
    <row r="91" spans="1:9" s="523" customFormat="1" ht="20.100000000000001" customHeight="1" x14ac:dyDescent="0.25">
      <c r="A91" s="201" t="s">
        <v>482</v>
      </c>
      <c r="B91" s="202">
        <f>B24</f>
        <v>641609</v>
      </c>
      <c r="C91" s="788">
        <f>C24</f>
        <v>880212</v>
      </c>
      <c r="D91" s="202">
        <f>+D24</f>
        <v>350600</v>
      </c>
      <c r="E91" s="204">
        <f>+E24</f>
        <v>821262.99</v>
      </c>
      <c r="F91" s="203">
        <f>+F24</f>
        <v>528208.28</v>
      </c>
      <c r="G91" s="101">
        <f>+G24</f>
        <v>100100</v>
      </c>
      <c r="H91" s="205">
        <f t="shared" ref="H91:H95" si="10">G91/D91*100</f>
        <v>28.551055333713631</v>
      </c>
      <c r="I91" s="522"/>
    </row>
    <row r="92" spans="1:9" s="523" customFormat="1" ht="20.100000000000001" customHeight="1" x14ac:dyDescent="0.25">
      <c r="A92" s="201" t="s">
        <v>485</v>
      </c>
      <c r="B92" s="202">
        <f>B19</f>
        <v>0</v>
      </c>
      <c r="C92" s="788">
        <f>C19</f>
        <v>7224.95</v>
      </c>
      <c r="D92" s="202">
        <f>+D19</f>
        <v>7700</v>
      </c>
      <c r="E92" s="204">
        <f>+E19</f>
        <v>6597.53</v>
      </c>
      <c r="F92" s="203">
        <f>+F19</f>
        <v>6597.53</v>
      </c>
      <c r="G92" s="101">
        <f>+G19</f>
        <v>51076</v>
      </c>
      <c r="H92" s="205">
        <f t="shared" si="10"/>
        <v>663.32467532467535</v>
      </c>
      <c r="I92" s="522"/>
    </row>
    <row r="93" spans="1:9" s="523" customFormat="1" ht="30" customHeight="1" x14ac:dyDescent="0.25">
      <c r="A93" s="201" t="s">
        <v>483</v>
      </c>
      <c r="B93" s="202">
        <f t="shared" ref="B93:G93" si="11">+B25</f>
        <v>26223</v>
      </c>
      <c r="C93" s="788">
        <f t="shared" si="11"/>
        <v>17354.18</v>
      </c>
      <c r="D93" s="202">
        <f t="shared" si="11"/>
        <v>6000</v>
      </c>
      <c r="E93" s="204">
        <f t="shared" si="11"/>
        <v>13225.95</v>
      </c>
      <c r="F93" s="203">
        <f t="shared" si="11"/>
        <v>13024.52</v>
      </c>
      <c r="G93" s="101">
        <f t="shared" si="11"/>
        <v>10000</v>
      </c>
      <c r="H93" s="205">
        <f t="shared" si="10"/>
        <v>166.66666666666669</v>
      </c>
      <c r="I93" s="522"/>
    </row>
    <row r="94" spans="1:9" s="523" customFormat="1" ht="20.100000000000001" customHeight="1" x14ac:dyDescent="0.25">
      <c r="A94" s="201" t="s">
        <v>90</v>
      </c>
      <c r="B94" s="202">
        <v>0</v>
      </c>
      <c r="C94" s="788">
        <v>1164162.6299999999</v>
      </c>
      <c r="D94" s="202">
        <v>0</v>
      </c>
      <c r="E94" s="204">
        <v>1424634.38</v>
      </c>
      <c r="F94" s="203">
        <v>1424634.38</v>
      </c>
      <c r="G94" s="101">
        <v>0</v>
      </c>
      <c r="H94" s="205" t="s">
        <v>58</v>
      </c>
      <c r="I94" s="522"/>
    </row>
    <row r="95" spans="1:9" s="523" customFormat="1" ht="30" customHeight="1" x14ac:dyDescent="0.25">
      <c r="A95" s="201" t="s">
        <v>301</v>
      </c>
      <c r="B95" s="202">
        <f>+B42</f>
        <v>377022</v>
      </c>
      <c r="C95" s="788">
        <f>+C42</f>
        <v>0</v>
      </c>
      <c r="D95" s="202">
        <f>+D42</f>
        <v>444000</v>
      </c>
      <c r="E95" s="204">
        <f>+E42</f>
        <v>444000</v>
      </c>
      <c r="F95" s="203">
        <f>+F42</f>
        <v>0</v>
      </c>
      <c r="G95" s="101">
        <v>501302</v>
      </c>
      <c r="H95" s="205">
        <f t="shared" si="10"/>
        <v>112.90585585585586</v>
      </c>
      <c r="I95" s="522"/>
    </row>
    <row r="96" spans="1:9" s="523" customFormat="1" ht="20.100000000000001" customHeight="1" thickBot="1" x14ac:dyDescent="0.3">
      <c r="A96" s="668" t="s">
        <v>338</v>
      </c>
      <c r="B96" s="207">
        <v>0</v>
      </c>
      <c r="C96" s="793">
        <v>28740.69</v>
      </c>
      <c r="D96" s="207">
        <v>0</v>
      </c>
      <c r="E96" s="209">
        <v>12370.26</v>
      </c>
      <c r="F96" s="208">
        <v>19925.099999999999</v>
      </c>
      <c r="G96" s="580">
        <v>0</v>
      </c>
      <c r="H96" s="205" t="s">
        <v>58</v>
      </c>
      <c r="I96" s="522"/>
    </row>
    <row r="97" spans="1:9" s="523" customFormat="1" ht="20.100000000000001" customHeight="1" thickBot="1" x14ac:dyDescent="0.3">
      <c r="A97" s="686" t="s">
        <v>11</v>
      </c>
      <c r="B97" s="750">
        <f t="shared" ref="B97:G97" si="12">SUM(B89:B96)</f>
        <v>1044854</v>
      </c>
      <c r="C97" s="792">
        <f t="shared" si="12"/>
        <v>2560232.6799999997</v>
      </c>
      <c r="D97" s="750">
        <f t="shared" si="12"/>
        <v>1306000</v>
      </c>
      <c r="E97" s="803">
        <f t="shared" si="12"/>
        <v>3219791.1099999994</v>
      </c>
      <c r="F97" s="804">
        <f t="shared" si="12"/>
        <v>2065559.77</v>
      </c>
      <c r="G97" s="580">
        <f t="shared" si="12"/>
        <v>1130978</v>
      </c>
      <c r="H97" s="723">
        <f>G97/D97*100</f>
        <v>86.598621745788677</v>
      </c>
      <c r="I97" s="522"/>
    </row>
    <row r="98" spans="1:9" s="523" customFormat="1" ht="9.9" customHeight="1" thickBot="1" x14ac:dyDescent="0.3">
      <c r="A98" s="726"/>
      <c r="B98" s="727"/>
      <c r="C98" s="727"/>
      <c r="D98" s="727"/>
      <c r="E98" s="727"/>
      <c r="F98" s="727"/>
      <c r="G98" s="729"/>
      <c r="H98" s="728"/>
      <c r="I98" s="522"/>
    </row>
    <row r="99" spans="1:9" s="34" customFormat="1" ht="20.100000000000001" customHeight="1" x14ac:dyDescent="0.25">
      <c r="A99" s="1069" t="s">
        <v>298</v>
      </c>
      <c r="B99" s="1070"/>
      <c r="C99" s="1070"/>
      <c r="D99" s="1070"/>
      <c r="E99" s="1070"/>
      <c r="F99" s="1070"/>
      <c r="G99" s="1070"/>
      <c r="H99" s="1071"/>
    </row>
    <row r="100" spans="1:9" s="34" customFormat="1" ht="30" customHeight="1" x14ac:dyDescent="0.25">
      <c r="A100" s="213" t="s">
        <v>357</v>
      </c>
      <c r="B100" s="214">
        <f t="shared" ref="B100:G100" si="13">+B55</f>
        <v>0</v>
      </c>
      <c r="C100" s="671">
        <f t="shared" si="13"/>
        <v>442501.97</v>
      </c>
      <c r="D100" s="218">
        <f t="shared" si="13"/>
        <v>0</v>
      </c>
      <c r="E100" s="220">
        <f t="shared" si="13"/>
        <v>6478.88</v>
      </c>
      <c r="F100" s="220">
        <f t="shared" si="13"/>
        <v>786.32</v>
      </c>
      <c r="G100" s="102">
        <f t="shared" si="13"/>
        <v>0</v>
      </c>
      <c r="H100" s="222" t="s">
        <v>58</v>
      </c>
    </row>
    <row r="101" spans="1:9" ht="30" customHeight="1" x14ac:dyDescent="0.25">
      <c r="A101" s="213" t="s">
        <v>358</v>
      </c>
      <c r="B101" s="214">
        <f t="shared" ref="B101:G101" si="14">+B57</f>
        <v>966791</v>
      </c>
      <c r="C101" s="671">
        <f t="shared" si="14"/>
        <v>798574.24</v>
      </c>
      <c r="D101" s="218">
        <f t="shared" si="14"/>
        <v>1137400</v>
      </c>
      <c r="E101" s="220">
        <f t="shared" si="14"/>
        <v>3035211.14</v>
      </c>
      <c r="F101" s="220">
        <f t="shared" si="14"/>
        <v>952396.91</v>
      </c>
      <c r="G101" s="102">
        <f t="shared" si="14"/>
        <v>960600</v>
      </c>
      <c r="H101" s="222">
        <f t="shared" ref="H101:H104" si="15">G101/D101*100</f>
        <v>84.455776331985234</v>
      </c>
    </row>
    <row r="102" spans="1:9" s="523" customFormat="1" ht="20.100000000000001" customHeight="1" x14ac:dyDescent="0.25">
      <c r="A102" s="213" t="s">
        <v>359</v>
      </c>
      <c r="B102" s="214">
        <f t="shared" ref="B102:G102" si="16">+B60</f>
        <v>78063</v>
      </c>
      <c r="C102" s="671">
        <f t="shared" si="16"/>
        <v>30337.43</v>
      </c>
      <c r="D102" s="218">
        <f t="shared" si="16"/>
        <v>168600</v>
      </c>
      <c r="E102" s="220">
        <f t="shared" si="16"/>
        <v>178101.09</v>
      </c>
      <c r="F102" s="220">
        <f t="shared" si="16"/>
        <v>87164.61</v>
      </c>
      <c r="G102" s="102">
        <f t="shared" si="16"/>
        <v>170378</v>
      </c>
      <c r="H102" s="222">
        <f t="shared" si="15"/>
        <v>101.05456702253855</v>
      </c>
      <c r="I102" s="522"/>
    </row>
    <row r="103" spans="1:9" s="523" customFormat="1" ht="30" customHeight="1" thickBot="1" x14ac:dyDescent="0.3">
      <c r="A103" s="217" t="s">
        <v>303</v>
      </c>
      <c r="B103" s="218">
        <v>0</v>
      </c>
      <c r="C103" s="789">
        <v>0</v>
      </c>
      <c r="D103" s="218">
        <v>0</v>
      </c>
      <c r="E103" s="220">
        <v>0</v>
      </c>
      <c r="F103" s="220">
        <v>0</v>
      </c>
      <c r="G103" s="102">
        <v>0</v>
      </c>
      <c r="H103" s="724" t="s">
        <v>58</v>
      </c>
      <c r="I103" s="522"/>
    </row>
    <row r="104" spans="1:9" s="523" customFormat="1" ht="20.100000000000001" customHeight="1" thickBot="1" x14ac:dyDescent="0.3">
      <c r="A104" s="688" t="s">
        <v>14</v>
      </c>
      <c r="B104" s="746">
        <f t="shared" ref="B104:G104" si="17">SUM(B100:B103)</f>
        <v>1044854</v>
      </c>
      <c r="C104" s="747">
        <f t="shared" si="17"/>
        <v>1271413.6399999999</v>
      </c>
      <c r="D104" s="746">
        <f t="shared" si="17"/>
        <v>1306000</v>
      </c>
      <c r="E104" s="689">
        <f t="shared" si="17"/>
        <v>3219791.11</v>
      </c>
      <c r="F104" s="747">
        <f t="shared" si="17"/>
        <v>1040347.84</v>
      </c>
      <c r="G104" s="687">
        <f t="shared" si="17"/>
        <v>1130978</v>
      </c>
      <c r="H104" s="725">
        <f t="shared" si="15"/>
        <v>86.598621745788677</v>
      </c>
      <c r="I104" s="522"/>
    </row>
    <row r="105" spans="1:9" s="523" customFormat="1" ht="9.9" customHeight="1" thickBot="1" x14ac:dyDescent="0.3">
      <c r="A105" s="649"/>
      <c r="B105" s="752"/>
      <c r="C105" s="519"/>
      <c r="D105" s="519"/>
      <c r="E105" s="519"/>
      <c r="F105" s="519"/>
      <c r="G105" s="33"/>
      <c r="H105" s="730"/>
      <c r="I105" s="522"/>
    </row>
    <row r="106" spans="1:9" s="523" customFormat="1" ht="30" customHeight="1" thickBot="1" x14ac:dyDescent="0.3">
      <c r="A106" s="674" t="s">
        <v>297</v>
      </c>
      <c r="B106" s="194">
        <f t="shared" ref="B106:G106" si="18">+B97-B104</f>
        <v>0</v>
      </c>
      <c r="C106" s="790">
        <f t="shared" si="18"/>
        <v>1288819.0399999998</v>
      </c>
      <c r="D106" s="194">
        <f t="shared" si="18"/>
        <v>0</v>
      </c>
      <c r="E106" s="196">
        <f t="shared" si="18"/>
        <v>0</v>
      </c>
      <c r="F106" s="748">
        <f t="shared" si="18"/>
        <v>1025211.93</v>
      </c>
      <c r="G106" s="137">
        <f t="shared" si="18"/>
        <v>0</v>
      </c>
      <c r="H106" s="721" t="s">
        <v>58</v>
      </c>
      <c r="I106" s="522"/>
    </row>
    <row r="107" spans="1:9" s="523" customFormat="1" ht="12.75" customHeight="1" x14ac:dyDescent="0.25">
      <c r="A107" s="165"/>
      <c r="B107" s="519"/>
      <c r="C107" s="519"/>
      <c r="D107" s="519"/>
      <c r="E107" s="519"/>
      <c r="F107" s="519"/>
      <c r="G107" s="33"/>
      <c r="H107" s="624"/>
      <c r="I107" s="522"/>
    </row>
    <row r="108" spans="1:9" s="523" customFormat="1" ht="21" customHeight="1" thickBot="1" x14ac:dyDescent="0.3">
      <c r="A108" s="99" t="s">
        <v>399</v>
      </c>
      <c r="B108" s="519"/>
      <c r="C108" s="519"/>
      <c r="D108" s="519"/>
      <c r="E108" s="519"/>
      <c r="F108" s="519"/>
      <c r="H108" s="166" t="s">
        <v>0</v>
      </c>
      <c r="I108" s="522"/>
    </row>
    <row r="109" spans="1:9" s="523" customFormat="1" ht="20.100000000000001" customHeight="1" x14ac:dyDescent="0.25">
      <c r="A109" s="1072" t="s">
        <v>364</v>
      </c>
      <c r="B109" s="1073"/>
      <c r="C109" s="1073"/>
      <c r="D109" s="1073"/>
      <c r="E109" s="1073"/>
      <c r="F109" s="1073"/>
      <c r="G109" s="1073"/>
      <c r="H109" s="1074"/>
      <c r="I109" s="522"/>
    </row>
    <row r="110" spans="1:9" s="523" customFormat="1" ht="20.100000000000001" customHeight="1" x14ac:dyDescent="0.25">
      <c r="A110" s="201" t="s">
        <v>3</v>
      </c>
      <c r="B110" s="202">
        <v>450000</v>
      </c>
      <c r="C110" s="788">
        <v>0</v>
      </c>
      <c r="D110" s="202">
        <v>500000</v>
      </c>
      <c r="E110" s="204">
        <v>500000</v>
      </c>
      <c r="F110" s="203">
        <v>0</v>
      </c>
      <c r="G110" s="101">
        <v>500000</v>
      </c>
      <c r="H110" s="205">
        <f t="shared" ref="H110:H115" si="19">G110/D110*100</f>
        <v>100</v>
      </c>
      <c r="I110" s="522"/>
    </row>
    <row r="111" spans="1:9" s="523" customFormat="1" ht="20.100000000000001" customHeight="1" x14ac:dyDescent="0.25">
      <c r="A111" s="201" t="s">
        <v>90</v>
      </c>
      <c r="B111" s="202">
        <v>0</v>
      </c>
      <c r="C111" s="788">
        <v>522309.82</v>
      </c>
      <c r="D111" s="202">
        <v>0</v>
      </c>
      <c r="E111" s="204">
        <v>613428.1</v>
      </c>
      <c r="F111" s="203">
        <v>613428.1</v>
      </c>
      <c r="G111" s="101">
        <v>0</v>
      </c>
      <c r="H111" s="205" t="s">
        <v>58</v>
      </c>
      <c r="I111" s="522"/>
    </row>
    <row r="112" spans="1:9" s="523" customFormat="1" ht="30" customHeight="1" x14ac:dyDescent="0.25">
      <c r="A112" s="201" t="s">
        <v>302</v>
      </c>
      <c r="B112" s="202">
        <f>+B43</f>
        <v>575227</v>
      </c>
      <c r="C112" s="794">
        <f>+C43</f>
        <v>0</v>
      </c>
      <c r="D112" s="202">
        <f>+D43</f>
        <v>944700</v>
      </c>
      <c r="E112" s="204">
        <f>+E43</f>
        <v>944700</v>
      </c>
      <c r="F112" s="203">
        <f>+F43</f>
        <v>0</v>
      </c>
      <c r="G112" s="136">
        <v>1795287</v>
      </c>
      <c r="H112" s="205">
        <f t="shared" si="19"/>
        <v>190.0377897745316</v>
      </c>
      <c r="I112" s="522"/>
    </row>
    <row r="113" spans="1:9" s="523" customFormat="1" ht="30" customHeight="1" x14ac:dyDescent="0.25">
      <c r="A113" s="201" t="s">
        <v>400</v>
      </c>
      <c r="B113" s="202">
        <f>+B59</f>
        <v>54535</v>
      </c>
      <c r="C113" s="794">
        <f>+C59</f>
        <v>3243.6600000000003</v>
      </c>
      <c r="D113" s="202">
        <f>+D59</f>
        <v>151038</v>
      </c>
      <c r="E113" s="204">
        <f>+E59</f>
        <v>151038</v>
      </c>
      <c r="F113" s="203">
        <f>+F59</f>
        <v>481.27</v>
      </c>
      <c r="G113" s="101">
        <f>+G120</f>
        <v>0</v>
      </c>
      <c r="H113" s="205">
        <f t="shared" si="19"/>
        <v>0</v>
      </c>
      <c r="I113" s="522"/>
    </row>
    <row r="114" spans="1:9" s="523" customFormat="1" ht="20.100000000000001" customHeight="1" thickBot="1" x14ac:dyDescent="0.3">
      <c r="A114" s="668" t="s">
        <v>338</v>
      </c>
      <c r="B114" s="207">
        <v>0</v>
      </c>
      <c r="C114" s="793">
        <v>17721.38</v>
      </c>
      <c r="D114" s="207">
        <v>0</v>
      </c>
      <c r="E114" s="209">
        <v>1366.02</v>
      </c>
      <c r="F114" s="208">
        <v>2498.6</v>
      </c>
      <c r="G114" s="580">
        <v>0</v>
      </c>
      <c r="H114" s="722" t="s">
        <v>58</v>
      </c>
      <c r="I114" s="522"/>
    </row>
    <row r="115" spans="1:9" s="523" customFormat="1" ht="20.100000000000001" customHeight="1" thickBot="1" x14ac:dyDescent="0.3">
      <c r="A115" s="686" t="s">
        <v>11</v>
      </c>
      <c r="B115" s="750">
        <f t="shared" ref="B115:G115" si="20">SUM(B110:B114)</f>
        <v>1079762</v>
      </c>
      <c r="C115" s="792">
        <f t="shared" si="20"/>
        <v>543274.86</v>
      </c>
      <c r="D115" s="750">
        <f t="shared" si="20"/>
        <v>1595738</v>
      </c>
      <c r="E115" s="803">
        <f t="shared" si="20"/>
        <v>2210532.12</v>
      </c>
      <c r="F115" s="804">
        <f t="shared" si="20"/>
        <v>616407.97</v>
      </c>
      <c r="G115" s="580">
        <f t="shared" si="20"/>
        <v>2295287</v>
      </c>
      <c r="H115" s="723">
        <f t="shared" si="19"/>
        <v>143.83858753755317</v>
      </c>
      <c r="I115" s="522"/>
    </row>
    <row r="116" spans="1:9" ht="9.9" customHeight="1" thickBot="1" x14ac:dyDescent="0.3">
      <c r="A116" s="649"/>
      <c r="G116" s="743"/>
      <c r="H116" s="730"/>
    </row>
    <row r="117" spans="1:9" ht="27" customHeight="1" x14ac:dyDescent="0.25">
      <c r="A117" s="1069" t="s">
        <v>298</v>
      </c>
      <c r="B117" s="1070"/>
      <c r="C117" s="1070"/>
      <c r="D117" s="1070"/>
      <c r="E117" s="1070"/>
      <c r="F117" s="1070"/>
      <c r="G117" s="1070"/>
      <c r="H117" s="1071"/>
    </row>
    <row r="118" spans="1:9" ht="30" customHeight="1" x14ac:dyDescent="0.25">
      <c r="A118" s="213" t="s">
        <v>360</v>
      </c>
      <c r="B118" s="214">
        <f t="shared" ref="B118:G118" si="21">+B56</f>
        <v>50420</v>
      </c>
      <c r="C118" s="671">
        <f t="shared" si="21"/>
        <v>36535.089999999997</v>
      </c>
      <c r="D118" s="218">
        <f t="shared" si="21"/>
        <v>0</v>
      </c>
      <c r="E118" s="220">
        <f t="shared" si="21"/>
        <v>45383.839999999997</v>
      </c>
      <c r="F118" s="219">
        <f t="shared" si="21"/>
        <v>27074.01</v>
      </c>
      <c r="G118" s="102">
        <f t="shared" si="21"/>
        <v>0</v>
      </c>
      <c r="H118" s="221" t="s">
        <v>58</v>
      </c>
      <c r="I118" s="200"/>
    </row>
    <row r="119" spans="1:9" ht="30" customHeight="1" x14ac:dyDescent="0.25">
      <c r="A119" s="213" t="s">
        <v>361</v>
      </c>
      <c r="B119" s="214">
        <f t="shared" ref="B119:G120" si="22">+B58</f>
        <v>761474</v>
      </c>
      <c r="C119" s="671">
        <f t="shared" si="22"/>
        <v>237140.15</v>
      </c>
      <c r="D119" s="218">
        <f t="shared" si="22"/>
        <v>1142000</v>
      </c>
      <c r="E119" s="220">
        <f t="shared" si="22"/>
        <v>1592771.96</v>
      </c>
      <c r="F119" s="219">
        <f t="shared" si="22"/>
        <v>199471.8</v>
      </c>
      <c r="G119" s="102">
        <f t="shared" si="22"/>
        <v>1798341</v>
      </c>
      <c r="H119" s="891">
        <f t="shared" ref="H119:H122" si="23">G119/D119*100</f>
        <v>157.47294220665501</v>
      </c>
      <c r="I119" s="200"/>
    </row>
    <row r="120" spans="1:9" ht="30" customHeight="1" x14ac:dyDescent="0.25">
      <c r="A120" s="213" t="s">
        <v>362</v>
      </c>
      <c r="B120" s="214">
        <f t="shared" si="22"/>
        <v>54535</v>
      </c>
      <c r="C120" s="671">
        <f t="shared" si="22"/>
        <v>3243.6600000000003</v>
      </c>
      <c r="D120" s="218">
        <f t="shared" si="22"/>
        <v>151038</v>
      </c>
      <c r="E120" s="220">
        <f t="shared" si="22"/>
        <v>151038</v>
      </c>
      <c r="F120" s="219">
        <f t="shared" si="22"/>
        <v>481.27</v>
      </c>
      <c r="G120" s="102">
        <f t="shared" si="22"/>
        <v>0</v>
      </c>
      <c r="H120" s="891">
        <f t="shared" si="23"/>
        <v>0</v>
      </c>
      <c r="I120" s="200"/>
    </row>
    <row r="121" spans="1:9" ht="30" customHeight="1" thickBot="1" x14ac:dyDescent="0.3">
      <c r="A121" s="213" t="s">
        <v>363</v>
      </c>
      <c r="B121" s="214">
        <f t="shared" ref="B121:G121" si="24">+B61</f>
        <v>213333</v>
      </c>
      <c r="C121" s="671">
        <f t="shared" si="24"/>
        <v>109383.38</v>
      </c>
      <c r="D121" s="857">
        <f t="shared" si="24"/>
        <v>302700</v>
      </c>
      <c r="E121" s="858">
        <f t="shared" si="24"/>
        <v>421338.32</v>
      </c>
      <c r="F121" s="859">
        <f t="shared" si="24"/>
        <v>50650.45</v>
      </c>
      <c r="G121" s="102">
        <f t="shared" si="24"/>
        <v>496946</v>
      </c>
      <c r="H121" s="891">
        <f t="shared" si="23"/>
        <v>164.17112652791545</v>
      </c>
      <c r="I121" s="200"/>
    </row>
    <row r="122" spans="1:9" ht="20.100000000000001" customHeight="1" thickBot="1" x14ac:dyDescent="0.3">
      <c r="A122" s="688" t="s">
        <v>14</v>
      </c>
      <c r="B122" s="751">
        <f t="shared" ref="B122:G122" si="25">SUM(B118:B121)</f>
        <v>1079762</v>
      </c>
      <c r="C122" s="791">
        <f t="shared" si="25"/>
        <v>386302.27999999997</v>
      </c>
      <c r="D122" s="746">
        <f t="shared" si="25"/>
        <v>1595738</v>
      </c>
      <c r="E122" s="689">
        <f t="shared" si="25"/>
        <v>2210532.12</v>
      </c>
      <c r="F122" s="747">
        <f t="shared" si="25"/>
        <v>277677.52999999997</v>
      </c>
      <c r="G122" s="687">
        <f t="shared" si="25"/>
        <v>2295287</v>
      </c>
      <c r="H122" s="725">
        <f t="shared" si="23"/>
        <v>143.83858753755317</v>
      </c>
    </row>
    <row r="123" spans="1:9" ht="9.9" customHeight="1" thickBot="1" x14ac:dyDescent="0.3">
      <c r="A123" s="649"/>
      <c r="G123" s="650"/>
      <c r="H123" s="166"/>
    </row>
    <row r="124" spans="1:9" ht="30" customHeight="1" thickBot="1" x14ac:dyDescent="0.3">
      <c r="A124" s="674" t="s">
        <v>299</v>
      </c>
      <c r="B124" s="194">
        <f>+B115-B122</f>
        <v>0</v>
      </c>
      <c r="C124" s="790">
        <f>+C115-C122</f>
        <v>156972.58000000002</v>
      </c>
      <c r="D124" s="194">
        <f>+D115-D122</f>
        <v>0</v>
      </c>
      <c r="E124" s="196">
        <f t="shared" ref="E124:G124" si="26">+E115-E122</f>
        <v>0</v>
      </c>
      <c r="F124" s="748">
        <f t="shared" si="26"/>
        <v>338730.44</v>
      </c>
      <c r="G124" s="137">
        <f t="shared" si="26"/>
        <v>0</v>
      </c>
      <c r="H124" s="721" t="s">
        <v>58</v>
      </c>
    </row>
    <row r="125" spans="1:9" ht="12.75" customHeight="1" x14ac:dyDescent="0.25">
      <c r="A125" s="623"/>
      <c r="G125" s="33"/>
    </row>
    <row r="126" spans="1:9" ht="12.75" customHeight="1" x14ac:dyDescent="0.25">
      <c r="G126" s="33"/>
    </row>
    <row r="127" spans="1:9" ht="12.75" customHeight="1" x14ac:dyDescent="0.25">
      <c r="G127" s="33"/>
    </row>
    <row r="128" spans="1:9" ht="12.75" customHeight="1" x14ac:dyDescent="0.25">
      <c r="G128" s="33"/>
    </row>
    <row r="129" spans="7:7" ht="12.75" customHeight="1" x14ac:dyDescent="0.25">
      <c r="G129" s="33"/>
    </row>
    <row r="130" spans="7:7" ht="12.75" customHeight="1" x14ac:dyDescent="0.25"/>
    <row r="131" spans="7:7" ht="12.75" customHeight="1" x14ac:dyDescent="0.25"/>
    <row r="132" spans="7:7" ht="12.75" customHeight="1" x14ac:dyDescent="0.25"/>
    <row r="440" spans="1:1" x14ac:dyDescent="0.25">
      <c r="A440" s="625"/>
    </row>
  </sheetData>
  <mergeCells count="18">
    <mergeCell ref="A74:H74"/>
    <mergeCell ref="A88:H88"/>
    <mergeCell ref="A9:H9"/>
    <mergeCell ref="A37:H37"/>
    <mergeCell ref="H7:H8"/>
    <mergeCell ref="A46:H46"/>
    <mergeCell ref="A7:A8"/>
    <mergeCell ref="B7:C7"/>
    <mergeCell ref="D7:F7"/>
    <mergeCell ref="G7:G8"/>
    <mergeCell ref="A99:H99"/>
    <mergeCell ref="A109:H109"/>
    <mergeCell ref="A117:H117"/>
    <mergeCell ref="A86:A87"/>
    <mergeCell ref="B86:C86"/>
    <mergeCell ref="D86:F86"/>
    <mergeCell ref="G86:G87"/>
    <mergeCell ref="H86:H87"/>
  </mergeCells>
  <printOptions horizontalCentered="1"/>
  <pageMargins left="0" right="0" top="0.59055118110236227" bottom="0.59055118110236227" header="0.31496062992125984" footer="0.31496062992125984"/>
  <pageSetup paperSize="9" scale="52" fitToHeight="2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K17"/>
  <sheetViews>
    <sheetView workbookViewId="0">
      <selection activeCell="B1" sqref="B1"/>
    </sheetView>
  </sheetViews>
  <sheetFormatPr defaultRowHeight="13.8" x14ac:dyDescent="0.3"/>
  <cols>
    <col min="1" max="1" width="7.6640625" style="1" customWidth="1"/>
    <col min="2" max="2" width="47.6640625" style="1" customWidth="1"/>
    <col min="3" max="3" width="14.6640625" style="2" customWidth="1"/>
    <col min="4" max="4" width="14.6640625" style="3" customWidth="1"/>
    <col min="5" max="5" width="14.6640625" style="2" customWidth="1"/>
    <col min="6" max="6" width="16" style="3" customWidth="1"/>
    <col min="7" max="7" width="14.6640625" style="3" customWidth="1"/>
    <col min="8" max="8" width="13.88671875" style="697" customWidth="1"/>
    <col min="9" max="10" width="10.109375" style="5" customWidth="1"/>
    <col min="11" max="253" width="9.109375" style="1"/>
    <col min="254" max="254" width="6.6640625" style="1" customWidth="1"/>
    <col min="255" max="255" width="41.5546875" style="1" customWidth="1"/>
    <col min="256" max="263" width="14.6640625" style="1" customWidth="1"/>
    <col min="264" max="264" width="16.6640625" style="1" customWidth="1"/>
    <col min="265" max="265" width="10.109375" style="1" bestFit="1" customWidth="1"/>
    <col min="266" max="266" width="10.109375" style="1" customWidth="1"/>
    <col min="267" max="509" width="9.109375" style="1"/>
    <col min="510" max="510" width="6.6640625" style="1" customWidth="1"/>
    <col min="511" max="511" width="41.5546875" style="1" customWidth="1"/>
    <col min="512" max="519" width="14.6640625" style="1" customWidth="1"/>
    <col min="520" max="520" width="16.6640625" style="1" customWidth="1"/>
    <col min="521" max="521" width="10.109375" style="1" bestFit="1" customWidth="1"/>
    <col min="522" max="522" width="10.109375" style="1" customWidth="1"/>
    <col min="523" max="765" width="9.109375" style="1"/>
    <col min="766" max="766" width="6.6640625" style="1" customWidth="1"/>
    <col min="767" max="767" width="41.5546875" style="1" customWidth="1"/>
    <col min="768" max="775" width="14.6640625" style="1" customWidth="1"/>
    <col min="776" max="776" width="16.6640625" style="1" customWidth="1"/>
    <col min="777" max="777" width="10.109375" style="1" bestFit="1" customWidth="1"/>
    <col min="778" max="778" width="10.109375" style="1" customWidth="1"/>
    <col min="779" max="1021" width="9.109375" style="1"/>
    <col min="1022" max="1022" width="6.6640625" style="1" customWidth="1"/>
    <col min="1023" max="1023" width="41.5546875" style="1" customWidth="1"/>
    <col min="1024" max="1031" width="14.6640625" style="1" customWidth="1"/>
    <col min="1032" max="1032" width="16.6640625" style="1" customWidth="1"/>
    <col min="1033" max="1033" width="10.109375" style="1" bestFit="1" customWidth="1"/>
    <col min="1034" max="1034" width="10.109375" style="1" customWidth="1"/>
    <col min="1035" max="1277" width="9.109375" style="1"/>
    <col min="1278" max="1278" width="6.6640625" style="1" customWidth="1"/>
    <col min="1279" max="1279" width="41.5546875" style="1" customWidth="1"/>
    <col min="1280" max="1287" width="14.6640625" style="1" customWidth="1"/>
    <col min="1288" max="1288" width="16.6640625" style="1" customWidth="1"/>
    <col min="1289" max="1289" width="10.109375" style="1" bestFit="1" customWidth="1"/>
    <col min="1290" max="1290" width="10.109375" style="1" customWidth="1"/>
    <col min="1291" max="1533" width="9.109375" style="1"/>
    <col min="1534" max="1534" width="6.6640625" style="1" customWidth="1"/>
    <col min="1535" max="1535" width="41.5546875" style="1" customWidth="1"/>
    <col min="1536" max="1543" width="14.6640625" style="1" customWidth="1"/>
    <col min="1544" max="1544" width="16.6640625" style="1" customWidth="1"/>
    <col min="1545" max="1545" width="10.109375" style="1" bestFit="1" customWidth="1"/>
    <col min="1546" max="1546" width="10.109375" style="1" customWidth="1"/>
    <col min="1547" max="1789" width="9.109375" style="1"/>
    <col min="1790" max="1790" width="6.6640625" style="1" customWidth="1"/>
    <col min="1791" max="1791" width="41.5546875" style="1" customWidth="1"/>
    <col min="1792" max="1799" width="14.6640625" style="1" customWidth="1"/>
    <col min="1800" max="1800" width="16.6640625" style="1" customWidth="1"/>
    <col min="1801" max="1801" width="10.109375" style="1" bestFit="1" customWidth="1"/>
    <col min="1802" max="1802" width="10.109375" style="1" customWidth="1"/>
    <col min="1803" max="2045" width="9.109375" style="1"/>
    <col min="2046" max="2046" width="6.6640625" style="1" customWidth="1"/>
    <col min="2047" max="2047" width="41.5546875" style="1" customWidth="1"/>
    <col min="2048" max="2055" width="14.6640625" style="1" customWidth="1"/>
    <col min="2056" max="2056" width="16.6640625" style="1" customWidth="1"/>
    <col min="2057" max="2057" width="10.109375" style="1" bestFit="1" customWidth="1"/>
    <col min="2058" max="2058" width="10.109375" style="1" customWidth="1"/>
    <col min="2059" max="2301" width="9.109375" style="1"/>
    <col min="2302" max="2302" width="6.6640625" style="1" customWidth="1"/>
    <col min="2303" max="2303" width="41.5546875" style="1" customWidth="1"/>
    <col min="2304" max="2311" width="14.6640625" style="1" customWidth="1"/>
    <col min="2312" max="2312" width="16.6640625" style="1" customWidth="1"/>
    <col min="2313" max="2313" width="10.109375" style="1" bestFit="1" customWidth="1"/>
    <col min="2314" max="2314" width="10.109375" style="1" customWidth="1"/>
    <col min="2315" max="2557" width="9.109375" style="1"/>
    <col min="2558" max="2558" width="6.6640625" style="1" customWidth="1"/>
    <col min="2559" max="2559" width="41.5546875" style="1" customWidth="1"/>
    <col min="2560" max="2567" width="14.6640625" style="1" customWidth="1"/>
    <col min="2568" max="2568" width="16.6640625" style="1" customWidth="1"/>
    <col min="2569" max="2569" width="10.109375" style="1" bestFit="1" customWidth="1"/>
    <col min="2570" max="2570" width="10.109375" style="1" customWidth="1"/>
    <col min="2571" max="2813" width="9.109375" style="1"/>
    <col min="2814" max="2814" width="6.6640625" style="1" customWidth="1"/>
    <col min="2815" max="2815" width="41.5546875" style="1" customWidth="1"/>
    <col min="2816" max="2823" width="14.6640625" style="1" customWidth="1"/>
    <col min="2824" max="2824" width="16.6640625" style="1" customWidth="1"/>
    <col min="2825" max="2825" width="10.109375" style="1" bestFit="1" customWidth="1"/>
    <col min="2826" max="2826" width="10.109375" style="1" customWidth="1"/>
    <col min="2827" max="3069" width="9.109375" style="1"/>
    <col min="3070" max="3070" width="6.6640625" style="1" customWidth="1"/>
    <col min="3071" max="3071" width="41.5546875" style="1" customWidth="1"/>
    <col min="3072" max="3079" width="14.6640625" style="1" customWidth="1"/>
    <col min="3080" max="3080" width="16.6640625" style="1" customWidth="1"/>
    <col min="3081" max="3081" width="10.109375" style="1" bestFit="1" customWidth="1"/>
    <col min="3082" max="3082" width="10.109375" style="1" customWidth="1"/>
    <col min="3083" max="3325" width="9.109375" style="1"/>
    <col min="3326" max="3326" width="6.6640625" style="1" customWidth="1"/>
    <col min="3327" max="3327" width="41.5546875" style="1" customWidth="1"/>
    <col min="3328" max="3335" width="14.6640625" style="1" customWidth="1"/>
    <col min="3336" max="3336" width="16.6640625" style="1" customWidth="1"/>
    <col min="3337" max="3337" width="10.109375" style="1" bestFit="1" customWidth="1"/>
    <col min="3338" max="3338" width="10.109375" style="1" customWidth="1"/>
    <col min="3339" max="3581" width="9.109375" style="1"/>
    <col min="3582" max="3582" width="6.6640625" style="1" customWidth="1"/>
    <col min="3583" max="3583" width="41.5546875" style="1" customWidth="1"/>
    <col min="3584" max="3591" width="14.6640625" style="1" customWidth="1"/>
    <col min="3592" max="3592" width="16.6640625" style="1" customWidth="1"/>
    <col min="3593" max="3593" width="10.109375" style="1" bestFit="1" customWidth="1"/>
    <col min="3594" max="3594" width="10.109375" style="1" customWidth="1"/>
    <col min="3595" max="3837" width="9.109375" style="1"/>
    <col min="3838" max="3838" width="6.6640625" style="1" customWidth="1"/>
    <col min="3839" max="3839" width="41.5546875" style="1" customWidth="1"/>
    <col min="3840" max="3847" width="14.6640625" style="1" customWidth="1"/>
    <col min="3848" max="3848" width="16.6640625" style="1" customWidth="1"/>
    <col min="3849" max="3849" width="10.109375" style="1" bestFit="1" customWidth="1"/>
    <col min="3850" max="3850" width="10.109375" style="1" customWidth="1"/>
    <col min="3851" max="4093" width="9.109375" style="1"/>
    <col min="4094" max="4094" width="6.6640625" style="1" customWidth="1"/>
    <col min="4095" max="4095" width="41.5546875" style="1" customWidth="1"/>
    <col min="4096" max="4103" width="14.6640625" style="1" customWidth="1"/>
    <col min="4104" max="4104" width="16.6640625" style="1" customWidth="1"/>
    <col min="4105" max="4105" width="10.109375" style="1" bestFit="1" customWidth="1"/>
    <col min="4106" max="4106" width="10.109375" style="1" customWidth="1"/>
    <col min="4107" max="4349" width="9.109375" style="1"/>
    <col min="4350" max="4350" width="6.6640625" style="1" customWidth="1"/>
    <col min="4351" max="4351" width="41.5546875" style="1" customWidth="1"/>
    <col min="4352" max="4359" width="14.6640625" style="1" customWidth="1"/>
    <col min="4360" max="4360" width="16.6640625" style="1" customWidth="1"/>
    <col min="4361" max="4361" width="10.109375" style="1" bestFit="1" customWidth="1"/>
    <col min="4362" max="4362" width="10.109375" style="1" customWidth="1"/>
    <col min="4363" max="4605" width="9.109375" style="1"/>
    <col min="4606" max="4606" width="6.6640625" style="1" customWidth="1"/>
    <col min="4607" max="4607" width="41.5546875" style="1" customWidth="1"/>
    <col min="4608" max="4615" width="14.6640625" style="1" customWidth="1"/>
    <col min="4616" max="4616" width="16.6640625" style="1" customWidth="1"/>
    <col min="4617" max="4617" width="10.109375" style="1" bestFit="1" customWidth="1"/>
    <col min="4618" max="4618" width="10.109375" style="1" customWidth="1"/>
    <col min="4619" max="4861" width="9.109375" style="1"/>
    <col min="4862" max="4862" width="6.6640625" style="1" customWidth="1"/>
    <col min="4863" max="4863" width="41.5546875" style="1" customWidth="1"/>
    <col min="4864" max="4871" width="14.6640625" style="1" customWidth="1"/>
    <col min="4872" max="4872" width="16.6640625" style="1" customWidth="1"/>
    <col min="4873" max="4873" width="10.109375" style="1" bestFit="1" customWidth="1"/>
    <col min="4874" max="4874" width="10.109375" style="1" customWidth="1"/>
    <col min="4875" max="5117" width="9.109375" style="1"/>
    <col min="5118" max="5118" width="6.6640625" style="1" customWidth="1"/>
    <col min="5119" max="5119" width="41.5546875" style="1" customWidth="1"/>
    <col min="5120" max="5127" width="14.6640625" style="1" customWidth="1"/>
    <col min="5128" max="5128" width="16.6640625" style="1" customWidth="1"/>
    <col min="5129" max="5129" width="10.109375" style="1" bestFit="1" customWidth="1"/>
    <col min="5130" max="5130" width="10.109375" style="1" customWidth="1"/>
    <col min="5131" max="5373" width="9.109375" style="1"/>
    <col min="5374" max="5374" width="6.6640625" style="1" customWidth="1"/>
    <col min="5375" max="5375" width="41.5546875" style="1" customWidth="1"/>
    <col min="5376" max="5383" width="14.6640625" style="1" customWidth="1"/>
    <col min="5384" max="5384" width="16.6640625" style="1" customWidth="1"/>
    <col min="5385" max="5385" width="10.109375" style="1" bestFit="1" customWidth="1"/>
    <col min="5386" max="5386" width="10.109375" style="1" customWidth="1"/>
    <col min="5387" max="5629" width="9.109375" style="1"/>
    <col min="5630" max="5630" width="6.6640625" style="1" customWidth="1"/>
    <col min="5631" max="5631" width="41.5546875" style="1" customWidth="1"/>
    <col min="5632" max="5639" width="14.6640625" style="1" customWidth="1"/>
    <col min="5640" max="5640" width="16.6640625" style="1" customWidth="1"/>
    <col min="5641" max="5641" width="10.109375" style="1" bestFit="1" customWidth="1"/>
    <col min="5642" max="5642" width="10.109375" style="1" customWidth="1"/>
    <col min="5643" max="5885" width="9.109375" style="1"/>
    <col min="5886" max="5886" width="6.6640625" style="1" customWidth="1"/>
    <col min="5887" max="5887" width="41.5546875" style="1" customWidth="1"/>
    <col min="5888" max="5895" width="14.6640625" style="1" customWidth="1"/>
    <col min="5896" max="5896" width="16.6640625" style="1" customWidth="1"/>
    <col min="5897" max="5897" width="10.109375" style="1" bestFit="1" customWidth="1"/>
    <col min="5898" max="5898" width="10.109375" style="1" customWidth="1"/>
    <col min="5899" max="6141" width="9.109375" style="1"/>
    <col min="6142" max="6142" width="6.6640625" style="1" customWidth="1"/>
    <col min="6143" max="6143" width="41.5546875" style="1" customWidth="1"/>
    <col min="6144" max="6151" width="14.6640625" style="1" customWidth="1"/>
    <col min="6152" max="6152" width="16.6640625" style="1" customWidth="1"/>
    <col min="6153" max="6153" width="10.109375" style="1" bestFit="1" customWidth="1"/>
    <col min="6154" max="6154" width="10.109375" style="1" customWidth="1"/>
    <col min="6155" max="6397" width="9.109375" style="1"/>
    <col min="6398" max="6398" width="6.6640625" style="1" customWidth="1"/>
    <col min="6399" max="6399" width="41.5546875" style="1" customWidth="1"/>
    <col min="6400" max="6407" width="14.6640625" style="1" customWidth="1"/>
    <col min="6408" max="6408" width="16.6640625" style="1" customWidth="1"/>
    <col min="6409" max="6409" width="10.109375" style="1" bestFit="1" customWidth="1"/>
    <col min="6410" max="6410" width="10.109375" style="1" customWidth="1"/>
    <col min="6411" max="6653" width="9.109375" style="1"/>
    <col min="6654" max="6654" width="6.6640625" style="1" customWidth="1"/>
    <col min="6655" max="6655" width="41.5546875" style="1" customWidth="1"/>
    <col min="6656" max="6663" width="14.6640625" style="1" customWidth="1"/>
    <col min="6664" max="6664" width="16.6640625" style="1" customWidth="1"/>
    <col min="6665" max="6665" width="10.109375" style="1" bestFit="1" customWidth="1"/>
    <col min="6666" max="6666" width="10.109375" style="1" customWidth="1"/>
    <col min="6667" max="6909" width="9.109375" style="1"/>
    <col min="6910" max="6910" width="6.6640625" style="1" customWidth="1"/>
    <col min="6911" max="6911" width="41.5546875" style="1" customWidth="1"/>
    <col min="6912" max="6919" width="14.6640625" style="1" customWidth="1"/>
    <col min="6920" max="6920" width="16.6640625" style="1" customWidth="1"/>
    <col min="6921" max="6921" width="10.109375" style="1" bestFit="1" customWidth="1"/>
    <col min="6922" max="6922" width="10.109375" style="1" customWidth="1"/>
    <col min="6923" max="7165" width="9.109375" style="1"/>
    <col min="7166" max="7166" width="6.6640625" style="1" customWidth="1"/>
    <col min="7167" max="7167" width="41.5546875" style="1" customWidth="1"/>
    <col min="7168" max="7175" width="14.6640625" style="1" customWidth="1"/>
    <col min="7176" max="7176" width="16.6640625" style="1" customWidth="1"/>
    <col min="7177" max="7177" width="10.109375" style="1" bestFit="1" customWidth="1"/>
    <col min="7178" max="7178" width="10.109375" style="1" customWidth="1"/>
    <col min="7179" max="7421" width="9.109375" style="1"/>
    <col min="7422" max="7422" width="6.6640625" style="1" customWidth="1"/>
    <col min="7423" max="7423" width="41.5546875" style="1" customWidth="1"/>
    <col min="7424" max="7431" width="14.6640625" style="1" customWidth="1"/>
    <col min="7432" max="7432" width="16.6640625" style="1" customWidth="1"/>
    <col min="7433" max="7433" width="10.109375" style="1" bestFit="1" customWidth="1"/>
    <col min="7434" max="7434" width="10.109375" style="1" customWidth="1"/>
    <col min="7435" max="7677" width="9.109375" style="1"/>
    <col min="7678" max="7678" width="6.6640625" style="1" customWidth="1"/>
    <col min="7679" max="7679" width="41.5546875" style="1" customWidth="1"/>
    <col min="7680" max="7687" width="14.6640625" style="1" customWidth="1"/>
    <col min="7688" max="7688" width="16.6640625" style="1" customWidth="1"/>
    <col min="7689" max="7689" width="10.109375" style="1" bestFit="1" customWidth="1"/>
    <col min="7690" max="7690" width="10.109375" style="1" customWidth="1"/>
    <col min="7691" max="7933" width="9.109375" style="1"/>
    <col min="7934" max="7934" width="6.6640625" style="1" customWidth="1"/>
    <col min="7935" max="7935" width="41.5546875" style="1" customWidth="1"/>
    <col min="7936" max="7943" width="14.6640625" style="1" customWidth="1"/>
    <col min="7944" max="7944" width="16.6640625" style="1" customWidth="1"/>
    <col min="7945" max="7945" width="10.109375" style="1" bestFit="1" customWidth="1"/>
    <col min="7946" max="7946" width="10.109375" style="1" customWidth="1"/>
    <col min="7947" max="8189" width="9.109375" style="1"/>
    <col min="8190" max="8190" width="6.6640625" style="1" customWidth="1"/>
    <col min="8191" max="8191" width="41.5546875" style="1" customWidth="1"/>
    <col min="8192" max="8199" width="14.6640625" style="1" customWidth="1"/>
    <col min="8200" max="8200" width="16.6640625" style="1" customWidth="1"/>
    <col min="8201" max="8201" width="10.109375" style="1" bestFit="1" customWidth="1"/>
    <col min="8202" max="8202" width="10.109375" style="1" customWidth="1"/>
    <col min="8203" max="8445" width="9.109375" style="1"/>
    <col min="8446" max="8446" width="6.6640625" style="1" customWidth="1"/>
    <col min="8447" max="8447" width="41.5546875" style="1" customWidth="1"/>
    <col min="8448" max="8455" width="14.6640625" style="1" customWidth="1"/>
    <col min="8456" max="8456" width="16.6640625" style="1" customWidth="1"/>
    <col min="8457" max="8457" width="10.109375" style="1" bestFit="1" customWidth="1"/>
    <col min="8458" max="8458" width="10.109375" style="1" customWidth="1"/>
    <col min="8459" max="8701" width="9.109375" style="1"/>
    <col min="8702" max="8702" width="6.6640625" style="1" customWidth="1"/>
    <col min="8703" max="8703" width="41.5546875" style="1" customWidth="1"/>
    <col min="8704" max="8711" width="14.6640625" style="1" customWidth="1"/>
    <col min="8712" max="8712" width="16.6640625" style="1" customWidth="1"/>
    <col min="8713" max="8713" width="10.109375" style="1" bestFit="1" customWidth="1"/>
    <col min="8714" max="8714" width="10.109375" style="1" customWidth="1"/>
    <col min="8715" max="8957" width="9.109375" style="1"/>
    <col min="8958" max="8958" width="6.6640625" style="1" customWidth="1"/>
    <col min="8959" max="8959" width="41.5546875" style="1" customWidth="1"/>
    <col min="8960" max="8967" width="14.6640625" style="1" customWidth="1"/>
    <col min="8968" max="8968" width="16.6640625" style="1" customWidth="1"/>
    <col min="8969" max="8969" width="10.109375" style="1" bestFit="1" customWidth="1"/>
    <col min="8970" max="8970" width="10.109375" style="1" customWidth="1"/>
    <col min="8971" max="9213" width="9.109375" style="1"/>
    <col min="9214" max="9214" width="6.6640625" style="1" customWidth="1"/>
    <col min="9215" max="9215" width="41.5546875" style="1" customWidth="1"/>
    <col min="9216" max="9223" width="14.6640625" style="1" customWidth="1"/>
    <col min="9224" max="9224" width="16.6640625" style="1" customWidth="1"/>
    <col min="9225" max="9225" width="10.109375" style="1" bestFit="1" customWidth="1"/>
    <col min="9226" max="9226" width="10.109375" style="1" customWidth="1"/>
    <col min="9227" max="9469" width="9.109375" style="1"/>
    <col min="9470" max="9470" width="6.6640625" style="1" customWidth="1"/>
    <col min="9471" max="9471" width="41.5546875" style="1" customWidth="1"/>
    <col min="9472" max="9479" width="14.6640625" style="1" customWidth="1"/>
    <col min="9480" max="9480" width="16.6640625" style="1" customWidth="1"/>
    <col min="9481" max="9481" width="10.109375" style="1" bestFit="1" customWidth="1"/>
    <col min="9482" max="9482" width="10.109375" style="1" customWidth="1"/>
    <col min="9483" max="9725" width="9.109375" style="1"/>
    <col min="9726" max="9726" width="6.6640625" style="1" customWidth="1"/>
    <col min="9727" max="9727" width="41.5546875" style="1" customWidth="1"/>
    <col min="9728" max="9735" width="14.6640625" style="1" customWidth="1"/>
    <col min="9736" max="9736" width="16.6640625" style="1" customWidth="1"/>
    <col min="9737" max="9737" width="10.109375" style="1" bestFit="1" customWidth="1"/>
    <col min="9738" max="9738" width="10.109375" style="1" customWidth="1"/>
    <col min="9739" max="9981" width="9.109375" style="1"/>
    <col min="9982" max="9982" width="6.6640625" style="1" customWidth="1"/>
    <col min="9983" max="9983" width="41.5546875" style="1" customWidth="1"/>
    <col min="9984" max="9991" width="14.6640625" style="1" customWidth="1"/>
    <col min="9992" max="9992" width="16.6640625" style="1" customWidth="1"/>
    <col min="9993" max="9993" width="10.109375" style="1" bestFit="1" customWidth="1"/>
    <col min="9994" max="9994" width="10.109375" style="1" customWidth="1"/>
    <col min="9995" max="10237" width="9.109375" style="1"/>
    <col min="10238" max="10238" width="6.6640625" style="1" customWidth="1"/>
    <col min="10239" max="10239" width="41.5546875" style="1" customWidth="1"/>
    <col min="10240" max="10247" width="14.6640625" style="1" customWidth="1"/>
    <col min="10248" max="10248" width="16.6640625" style="1" customWidth="1"/>
    <col min="10249" max="10249" width="10.109375" style="1" bestFit="1" customWidth="1"/>
    <col min="10250" max="10250" width="10.109375" style="1" customWidth="1"/>
    <col min="10251" max="10493" width="9.109375" style="1"/>
    <col min="10494" max="10494" width="6.6640625" style="1" customWidth="1"/>
    <col min="10495" max="10495" width="41.5546875" style="1" customWidth="1"/>
    <col min="10496" max="10503" width="14.6640625" style="1" customWidth="1"/>
    <col min="10504" max="10504" width="16.6640625" style="1" customWidth="1"/>
    <col min="10505" max="10505" width="10.109375" style="1" bestFit="1" customWidth="1"/>
    <col min="10506" max="10506" width="10.109375" style="1" customWidth="1"/>
    <col min="10507" max="10749" width="9.109375" style="1"/>
    <col min="10750" max="10750" width="6.6640625" style="1" customWidth="1"/>
    <col min="10751" max="10751" width="41.5546875" style="1" customWidth="1"/>
    <col min="10752" max="10759" width="14.6640625" style="1" customWidth="1"/>
    <col min="10760" max="10760" width="16.6640625" style="1" customWidth="1"/>
    <col min="10761" max="10761" width="10.109375" style="1" bestFit="1" customWidth="1"/>
    <col min="10762" max="10762" width="10.109375" style="1" customWidth="1"/>
    <col min="10763" max="11005" width="9.109375" style="1"/>
    <col min="11006" max="11006" width="6.6640625" style="1" customWidth="1"/>
    <col min="11007" max="11007" width="41.5546875" style="1" customWidth="1"/>
    <col min="11008" max="11015" width="14.6640625" style="1" customWidth="1"/>
    <col min="11016" max="11016" width="16.6640625" style="1" customWidth="1"/>
    <col min="11017" max="11017" width="10.109375" style="1" bestFit="1" customWidth="1"/>
    <col min="11018" max="11018" width="10.109375" style="1" customWidth="1"/>
    <col min="11019" max="11261" width="9.109375" style="1"/>
    <col min="11262" max="11262" width="6.6640625" style="1" customWidth="1"/>
    <col min="11263" max="11263" width="41.5546875" style="1" customWidth="1"/>
    <col min="11264" max="11271" width="14.6640625" style="1" customWidth="1"/>
    <col min="11272" max="11272" width="16.6640625" style="1" customWidth="1"/>
    <col min="11273" max="11273" width="10.109375" style="1" bestFit="1" customWidth="1"/>
    <col min="11274" max="11274" width="10.109375" style="1" customWidth="1"/>
    <col min="11275" max="11517" width="9.109375" style="1"/>
    <col min="11518" max="11518" width="6.6640625" style="1" customWidth="1"/>
    <col min="11519" max="11519" width="41.5546875" style="1" customWidth="1"/>
    <col min="11520" max="11527" width="14.6640625" style="1" customWidth="1"/>
    <col min="11528" max="11528" width="16.6640625" style="1" customWidth="1"/>
    <col min="11529" max="11529" width="10.109375" style="1" bestFit="1" customWidth="1"/>
    <col min="11530" max="11530" width="10.109375" style="1" customWidth="1"/>
    <col min="11531" max="11773" width="9.109375" style="1"/>
    <col min="11774" max="11774" width="6.6640625" style="1" customWidth="1"/>
    <col min="11775" max="11775" width="41.5546875" style="1" customWidth="1"/>
    <col min="11776" max="11783" width="14.6640625" style="1" customWidth="1"/>
    <col min="11784" max="11784" width="16.6640625" style="1" customWidth="1"/>
    <col min="11785" max="11785" width="10.109375" style="1" bestFit="1" customWidth="1"/>
    <col min="11786" max="11786" width="10.109375" style="1" customWidth="1"/>
    <col min="11787" max="12029" width="9.109375" style="1"/>
    <col min="12030" max="12030" width="6.6640625" style="1" customWidth="1"/>
    <col min="12031" max="12031" width="41.5546875" style="1" customWidth="1"/>
    <col min="12032" max="12039" width="14.6640625" style="1" customWidth="1"/>
    <col min="12040" max="12040" width="16.6640625" style="1" customWidth="1"/>
    <col min="12041" max="12041" width="10.109375" style="1" bestFit="1" customWidth="1"/>
    <col min="12042" max="12042" width="10.109375" style="1" customWidth="1"/>
    <col min="12043" max="12285" width="9.109375" style="1"/>
    <col min="12286" max="12286" width="6.6640625" style="1" customWidth="1"/>
    <col min="12287" max="12287" width="41.5546875" style="1" customWidth="1"/>
    <col min="12288" max="12295" width="14.6640625" style="1" customWidth="1"/>
    <col min="12296" max="12296" width="16.6640625" style="1" customWidth="1"/>
    <col min="12297" max="12297" width="10.109375" style="1" bestFit="1" customWidth="1"/>
    <col min="12298" max="12298" width="10.109375" style="1" customWidth="1"/>
    <col min="12299" max="12541" width="9.109375" style="1"/>
    <col min="12542" max="12542" width="6.6640625" style="1" customWidth="1"/>
    <col min="12543" max="12543" width="41.5546875" style="1" customWidth="1"/>
    <col min="12544" max="12551" width="14.6640625" style="1" customWidth="1"/>
    <col min="12552" max="12552" width="16.6640625" style="1" customWidth="1"/>
    <col min="12553" max="12553" width="10.109375" style="1" bestFit="1" customWidth="1"/>
    <col min="12554" max="12554" width="10.109375" style="1" customWidth="1"/>
    <col min="12555" max="12797" width="9.109375" style="1"/>
    <col min="12798" max="12798" width="6.6640625" style="1" customWidth="1"/>
    <col min="12799" max="12799" width="41.5546875" style="1" customWidth="1"/>
    <col min="12800" max="12807" width="14.6640625" style="1" customWidth="1"/>
    <col min="12808" max="12808" width="16.6640625" style="1" customWidth="1"/>
    <col min="12809" max="12809" width="10.109375" style="1" bestFit="1" customWidth="1"/>
    <col min="12810" max="12810" width="10.109375" style="1" customWidth="1"/>
    <col min="12811" max="13053" width="9.109375" style="1"/>
    <col min="13054" max="13054" width="6.6640625" style="1" customWidth="1"/>
    <col min="13055" max="13055" width="41.5546875" style="1" customWidth="1"/>
    <col min="13056" max="13063" width="14.6640625" style="1" customWidth="1"/>
    <col min="13064" max="13064" width="16.6640625" style="1" customWidth="1"/>
    <col min="13065" max="13065" width="10.109375" style="1" bestFit="1" customWidth="1"/>
    <col min="13066" max="13066" width="10.109375" style="1" customWidth="1"/>
    <col min="13067" max="13309" width="9.109375" style="1"/>
    <col min="13310" max="13310" width="6.6640625" style="1" customWidth="1"/>
    <col min="13311" max="13311" width="41.5546875" style="1" customWidth="1"/>
    <col min="13312" max="13319" width="14.6640625" style="1" customWidth="1"/>
    <col min="13320" max="13320" width="16.6640625" style="1" customWidth="1"/>
    <col min="13321" max="13321" width="10.109375" style="1" bestFit="1" customWidth="1"/>
    <col min="13322" max="13322" width="10.109375" style="1" customWidth="1"/>
    <col min="13323" max="13565" width="9.109375" style="1"/>
    <col min="13566" max="13566" width="6.6640625" style="1" customWidth="1"/>
    <col min="13567" max="13567" width="41.5546875" style="1" customWidth="1"/>
    <col min="13568" max="13575" width="14.6640625" style="1" customWidth="1"/>
    <col min="13576" max="13576" width="16.6640625" style="1" customWidth="1"/>
    <col min="13577" max="13577" width="10.109375" style="1" bestFit="1" customWidth="1"/>
    <col min="13578" max="13578" width="10.109375" style="1" customWidth="1"/>
    <col min="13579" max="13821" width="9.109375" style="1"/>
    <col min="13822" max="13822" width="6.6640625" style="1" customWidth="1"/>
    <col min="13823" max="13823" width="41.5546875" style="1" customWidth="1"/>
    <col min="13824" max="13831" width="14.6640625" style="1" customWidth="1"/>
    <col min="13832" max="13832" width="16.6640625" style="1" customWidth="1"/>
    <col min="13833" max="13833" width="10.109375" style="1" bestFit="1" customWidth="1"/>
    <col min="13834" max="13834" width="10.109375" style="1" customWidth="1"/>
    <col min="13835" max="14077" width="9.109375" style="1"/>
    <col min="14078" max="14078" width="6.6640625" style="1" customWidth="1"/>
    <col min="14079" max="14079" width="41.5546875" style="1" customWidth="1"/>
    <col min="14080" max="14087" width="14.6640625" style="1" customWidth="1"/>
    <col min="14088" max="14088" width="16.6640625" style="1" customWidth="1"/>
    <col min="14089" max="14089" width="10.109375" style="1" bestFit="1" customWidth="1"/>
    <col min="14090" max="14090" width="10.109375" style="1" customWidth="1"/>
    <col min="14091" max="14333" width="9.109375" style="1"/>
    <col min="14334" max="14334" width="6.6640625" style="1" customWidth="1"/>
    <col min="14335" max="14335" width="41.5546875" style="1" customWidth="1"/>
    <col min="14336" max="14343" width="14.6640625" style="1" customWidth="1"/>
    <col min="14344" max="14344" width="16.6640625" style="1" customWidth="1"/>
    <col min="14345" max="14345" width="10.109375" style="1" bestFit="1" customWidth="1"/>
    <col min="14346" max="14346" width="10.109375" style="1" customWidth="1"/>
    <col min="14347" max="14589" width="9.109375" style="1"/>
    <col min="14590" max="14590" width="6.6640625" style="1" customWidth="1"/>
    <col min="14591" max="14591" width="41.5546875" style="1" customWidth="1"/>
    <col min="14592" max="14599" width="14.6640625" style="1" customWidth="1"/>
    <col min="14600" max="14600" width="16.6640625" style="1" customWidth="1"/>
    <col min="14601" max="14601" width="10.109375" style="1" bestFit="1" customWidth="1"/>
    <col min="14602" max="14602" width="10.109375" style="1" customWidth="1"/>
    <col min="14603" max="14845" width="9.109375" style="1"/>
    <col min="14846" max="14846" width="6.6640625" style="1" customWidth="1"/>
    <col min="14847" max="14847" width="41.5546875" style="1" customWidth="1"/>
    <col min="14848" max="14855" width="14.6640625" style="1" customWidth="1"/>
    <col min="14856" max="14856" width="16.6640625" style="1" customWidth="1"/>
    <col min="14857" max="14857" width="10.109375" style="1" bestFit="1" customWidth="1"/>
    <col min="14858" max="14858" width="10.109375" style="1" customWidth="1"/>
    <col min="14859" max="15101" width="9.109375" style="1"/>
    <col min="15102" max="15102" width="6.6640625" style="1" customWidth="1"/>
    <col min="15103" max="15103" width="41.5546875" style="1" customWidth="1"/>
    <col min="15104" max="15111" width="14.6640625" style="1" customWidth="1"/>
    <col min="15112" max="15112" width="16.6640625" style="1" customWidth="1"/>
    <col min="15113" max="15113" width="10.109375" style="1" bestFit="1" customWidth="1"/>
    <col min="15114" max="15114" width="10.109375" style="1" customWidth="1"/>
    <col min="15115" max="15357" width="9.109375" style="1"/>
    <col min="15358" max="15358" width="6.6640625" style="1" customWidth="1"/>
    <col min="15359" max="15359" width="41.5546875" style="1" customWidth="1"/>
    <col min="15360" max="15367" width="14.6640625" style="1" customWidth="1"/>
    <col min="15368" max="15368" width="16.6640625" style="1" customWidth="1"/>
    <col min="15369" max="15369" width="10.109375" style="1" bestFit="1" customWidth="1"/>
    <col min="15370" max="15370" width="10.109375" style="1" customWidth="1"/>
    <col min="15371" max="15613" width="9.109375" style="1"/>
    <col min="15614" max="15614" width="6.6640625" style="1" customWidth="1"/>
    <col min="15615" max="15615" width="41.5546875" style="1" customWidth="1"/>
    <col min="15616" max="15623" width="14.6640625" style="1" customWidth="1"/>
    <col min="15624" max="15624" width="16.6640625" style="1" customWidth="1"/>
    <col min="15625" max="15625" width="10.109375" style="1" bestFit="1" customWidth="1"/>
    <col min="15626" max="15626" width="10.109375" style="1" customWidth="1"/>
    <col min="15627" max="15869" width="9.109375" style="1"/>
    <col min="15870" max="15870" width="6.6640625" style="1" customWidth="1"/>
    <col min="15871" max="15871" width="41.5546875" style="1" customWidth="1"/>
    <col min="15872" max="15879" width="14.6640625" style="1" customWidth="1"/>
    <col min="15880" max="15880" width="16.6640625" style="1" customWidth="1"/>
    <col min="15881" max="15881" width="10.109375" style="1" bestFit="1" customWidth="1"/>
    <col min="15882" max="15882" width="10.109375" style="1" customWidth="1"/>
    <col min="15883" max="16125" width="9.109375" style="1"/>
    <col min="16126" max="16126" width="6.6640625" style="1" customWidth="1"/>
    <col min="16127" max="16127" width="41.5546875" style="1" customWidth="1"/>
    <col min="16128" max="16135" width="14.6640625" style="1" customWidth="1"/>
    <col min="16136" max="16136" width="16.6640625" style="1" customWidth="1"/>
    <col min="16137" max="16137" width="10.109375" style="1" bestFit="1" customWidth="1"/>
    <col min="16138" max="16138" width="10.109375" style="1" customWidth="1"/>
    <col min="16139" max="16384" width="9.109375" style="1"/>
  </cols>
  <sheetData>
    <row r="1" spans="1:11" ht="14.4" x14ac:dyDescent="0.3">
      <c r="B1" s="1" t="s">
        <v>574</v>
      </c>
      <c r="J1" s="6"/>
    </row>
    <row r="2" spans="1:11" ht="20.100000000000001" customHeight="1" x14ac:dyDescent="0.45">
      <c r="A2" s="1157" t="s">
        <v>510</v>
      </c>
      <c r="B2" s="1157"/>
      <c r="C2" s="1157"/>
      <c r="D2" s="1157"/>
      <c r="E2" s="1157"/>
      <c r="F2" s="1157"/>
      <c r="G2" s="1157"/>
      <c r="H2" s="1157"/>
      <c r="I2" s="1157"/>
      <c r="J2" s="1157"/>
      <c r="K2" s="924"/>
    </row>
    <row r="3" spans="1:11" ht="15" customHeight="1" x14ac:dyDescent="0.3"/>
    <row r="4" spans="1:11" ht="18" x14ac:dyDescent="0.35">
      <c r="A4" s="7" t="s">
        <v>239</v>
      </c>
      <c r="I4" s="8"/>
    </row>
    <row r="5" spans="1:11" ht="15" customHeight="1" thickBot="1" x14ac:dyDescent="0.4">
      <c r="A5" s="7"/>
      <c r="J5" s="8" t="s">
        <v>0</v>
      </c>
    </row>
    <row r="6" spans="1:11" s="26" customFormat="1" ht="15.9" customHeight="1" x14ac:dyDescent="0.25">
      <c r="A6" s="1159" t="s">
        <v>85</v>
      </c>
      <c r="B6" s="1270" t="s">
        <v>97</v>
      </c>
      <c r="C6" s="1060" t="s">
        <v>402</v>
      </c>
      <c r="D6" s="1061"/>
      <c r="E6" s="1060" t="s">
        <v>450</v>
      </c>
      <c r="F6" s="1064"/>
      <c r="G6" s="1061"/>
      <c r="H6" s="1169" t="s">
        <v>507</v>
      </c>
      <c r="I6" s="1161" t="s">
        <v>508</v>
      </c>
      <c r="J6" s="1163" t="s">
        <v>509</v>
      </c>
    </row>
    <row r="7" spans="1:11" s="26" customFormat="1" ht="30.9" customHeight="1" thickBot="1" x14ac:dyDescent="0.3">
      <c r="A7" s="1160"/>
      <c r="B7" s="1271"/>
      <c r="C7" s="236" t="s">
        <v>103</v>
      </c>
      <c r="D7" s="835" t="s">
        <v>520</v>
      </c>
      <c r="E7" s="236" t="s">
        <v>103</v>
      </c>
      <c r="F7" s="237" t="s">
        <v>556</v>
      </c>
      <c r="G7" s="238" t="s">
        <v>555</v>
      </c>
      <c r="H7" s="1170"/>
      <c r="I7" s="1162"/>
      <c r="J7" s="1164"/>
    </row>
    <row r="8" spans="1:11" s="9" customFormat="1" ht="20.100000000000001" customHeight="1" thickBot="1" x14ac:dyDescent="0.35">
      <c r="B8" s="10" t="s">
        <v>98</v>
      </c>
      <c r="C8" s="11"/>
      <c r="D8" s="12"/>
      <c r="E8" s="11"/>
      <c r="F8" s="13"/>
      <c r="G8" s="13"/>
      <c r="H8" s="239"/>
      <c r="I8" s="16"/>
      <c r="J8" s="16"/>
    </row>
    <row r="9" spans="1:11" s="19" customFormat="1" ht="34.5" customHeight="1" x14ac:dyDescent="0.3">
      <c r="A9" s="430">
        <v>6172</v>
      </c>
      <c r="B9" s="895" t="s">
        <v>446</v>
      </c>
      <c r="C9" s="377">
        <v>400</v>
      </c>
      <c r="D9" s="378">
        <v>161.30000000000001</v>
      </c>
      <c r="E9" s="377">
        <v>180</v>
      </c>
      <c r="F9" s="490">
        <v>180</v>
      </c>
      <c r="G9" s="431">
        <v>69.650000000000006</v>
      </c>
      <c r="H9" s="955">
        <v>300</v>
      </c>
      <c r="I9" s="382">
        <f>H9/E9*100</f>
        <v>166.66666666666669</v>
      </c>
      <c r="J9" s="383">
        <f>H9/F9*100</f>
        <v>166.66666666666669</v>
      </c>
      <c r="K9" s="18"/>
    </row>
    <row r="10" spans="1:11" s="19" customFormat="1" ht="48" customHeight="1" x14ac:dyDescent="0.3">
      <c r="A10" s="428">
        <v>6172</v>
      </c>
      <c r="B10" s="896" t="s">
        <v>500</v>
      </c>
      <c r="C10" s="395">
        <v>6438</v>
      </c>
      <c r="D10" s="396">
        <v>8037.06</v>
      </c>
      <c r="E10" s="395">
        <v>14658</v>
      </c>
      <c r="F10" s="828">
        <v>17513.36</v>
      </c>
      <c r="G10" s="413">
        <v>2742.98</v>
      </c>
      <c r="H10" s="960">
        <v>7000</v>
      </c>
      <c r="I10" s="400">
        <f>H10/E10*100</f>
        <v>47.755491881566378</v>
      </c>
      <c r="J10" s="401">
        <f>H10/F10*100</f>
        <v>39.969486152286024</v>
      </c>
      <c r="K10" s="18"/>
    </row>
    <row r="11" spans="1:11" s="19" customFormat="1" ht="20.100000000000001" customHeight="1" thickBot="1" x14ac:dyDescent="0.35">
      <c r="A11" s="918">
        <v>6172</v>
      </c>
      <c r="B11" s="897" t="s">
        <v>104</v>
      </c>
      <c r="C11" s="421">
        <v>40</v>
      </c>
      <c r="D11" s="444">
        <v>0</v>
      </c>
      <c r="E11" s="421">
        <v>40</v>
      </c>
      <c r="F11" s="898">
        <v>0</v>
      </c>
      <c r="G11" s="486">
        <v>0</v>
      </c>
      <c r="H11" s="961">
        <v>100</v>
      </c>
      <c r="I11" s="899">
        <f>H11/E11*100</f>
        <v>250</v>
      </c>
      <c r="J11" s="900" t="s">
        <v>58</v>
      </c>
      <c r="K11" s="18"/>
    </row>
    <row r="12" spans="1:11" s="19" customFormat="1" ht="20.100000000000001" customHeight="1" thickBot="1" x14ac:dyDescent="0.35">
      <c r="A12" s="174"/>
      <c r="B12" s="184" t="s">
        <v>82</v>
      </c>
      <c r="C12" s="169">
        <f t="shared" ref="C12:H12" si="0">SUM(C9:C11)</f>
        <v>6878</v>
      </c>
      <c r="D12" s="170">
        <f t="shared" si="0"/>
        <v>8198.36</v>
      </c>
      <c r="E12" s="169">
        <f t="shared" si="0"/>
        <v>14878</v>
      </c>
      <c r="F12" s="171">
        <f t="shared" si="0"/>
        <v>17693.36</v>
      </c>
      <c r="G12" s="170">
        <f t="shared" si="0"/>
        <v>2812.63</v>
      </c>
      <c r="H12" s="959">
        <f t="shared" si="0"/>
        <v>7400</v>
      </c>
      <c r="I12" s="345">
        <f>H12/E12*100</f>
        <v>49.737867993009814</v>
      </c>
      <c r="J12" s="346">
        <f>H12/F12*100</f>
        <v>41.823599361568412</v>
      </c>
      <c r="K12" s="18"/>
    </row>
    <row r="13" spans="1:11" ht="15" customHeight="1" x14ac:dyDescent="0.3">
      <c r="A13" s="20"/>
      <c r="B13" s="20"/>
      <c r="C13" s="159"/>
      <c r="D13" s="158"/>
      <c r="E13" s="159"/>
      <c r="F13" s="161"/>
      <c r="G13" s="161"/>
      <c r="H13" s="161"/>
      <c r="I13" s="24"/>
      <c r="J13" s="25"/>
      <c r="K13" s="17"/>
    </row>
    <row r="14" spans="1:11" x14ac:dyDescent="0.3">
      <c r="C14" s="3"/>
      <c r="E14" s="3"/>
      <c r="H14" s="3"/>
    </row>
    <row r="15" spans="1:11" x14ac:dyDescent="0.3">
      <c r="C15" s="3"/>
      <c r="E15" s="3"/>
      <c r="H15" s="3"/>
      <c r="I15" s="892"/>
    </row>
    <row r="17" spans="1:1" ht="15.6" x14ac:dyDescent="0.3">
      <c r="A17" s="19"/>
    </row>
  </sheetData>
  <mergeCells count="8">
    <mergeCell ref="A2:J2"/>
    <mergeCell ref="A6:A7"/>
    <mergeCell ref="C6:D6"/>
    <mergeCell ref="E6:G6"/>
    <mergeCell ref="I6:I7"/>
    <mergeCell ref="J6:J7"/>
    <mergeCell ref="B6:B7"/>
    <mergeCell ref="H6:H7"/>
  </mergeCells>
  <pageMargins left="0.70866141732283472" right="0.70866141732283472" top="0.78740157480314965" bottom="0.78740157480314965" header="0.31496062992125984" footer="0.31496062992125984"/>
  <pageSetup paperSize="9" scale="54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L26"/>
  <sheetViews>
    <sheetView workbookViewId="0">
      <selection activeCell="C1" sqref="C1"/>
    </sheetView>
  </sheetViews>
  <sheetFormatPr defaultColWidth="9.109375" defaultRowHeight="13.8" x14ac:dyDescent="0.3"/>
  <cols>
    <col min="1" max="1" width="7.6640625" style="1" customWidth="1"/>
    <col min="2" max="2" width="6.6640625" style="1" customWidth="1"/>
    <col min="3" max="3" width="41.5546875" style="1" customWidth="1"/>
    <col min="4" max="4" width="14.6640625" style="2" customWidth="1"/>
    <col min="5" max="5" width="14.6640625" style="3" customWidth="1"/>
    <col min="6" max="6" width="14.6640625" style="2" customWidth="1"/>
    <col min="7" max="7" width="16.109375" style="3" customWidth="1"/>
    <col min="8" max="8" width="14.6640625" style="3" customWidth="1"/>
    <col min="9" max="9" width="14.6640625" style="697" customWidth="1"/>
    <col min="10" max="10" width="10.33203125" style="5" customWidth="1"/>
    <col min="11" max="11" width="9.6640625" style="5" customWidth="1"/>
    <col min="12" max="16384" width="9.109375" style="1"/>
  </cols>
  <sheetData>
    <row r="1" spans="1:11" ht="15" customHeight="1" x14ac:dyDescent="0.3">
      <c r="C1" s="1" t="s">
        <v>574</v>
      </c>
      <c r="K1" s="6"/>
    </row>
    <row r="2" spans="1:11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</row>
    <row r="3" spans="1:11" ht="15" customHeight="1" x14ac:dyDescent="0.3"/>
    <row r="4" spans="1:11" ht="20.100000000000001" customHeight="1" x14ac:dyDescent="0.35">
      <c r="A4" s="7" t="s">
        <v>181</v>
      </c>
      <c r="J4" s="8"/>
    </row>
    <row r="5" spans="1:11" ht="15" customHeight="1" thickBot="1" x14ac:dyDescent="0.4">
      <c r="A5" s="7"/>
      <c r="K5" s="8" t="s">
        <v>0</v>
      </c>
    </row>
    <row r="6" spans="1:11" s="62" customFormat="1" ht="15.9" customHeight="1" x14ac:dyDescent="0.2">
      <c r="A6" s="1159" t="s">
        <v>85</v>
      </c>
      <c r="B6" s="1165" t="s">
        <v>97</v>
      </c>
      <c r="C6" s="1166"/>
      <c r="D6" s="1060" t="s">
        <v>402</v>
      </c>
      <c r="E6" s="1061"/>
      <c r="F6" s="1060" t="s">
        <v>450</v>
      </c>
      <c r="G6" s="1064"/>
      <c r="H6" s="1061"/>
      <c r="I6" s="1169" t="s">
        <v>507</v>
      </c>
      <c r="J6" s="1161" t="s">
        <v>508</v>
      </c>
      <c r="K6" s="1163" t="s">
        <v>509</v>
      </c>
    </row>
    <row r="7" spans="1:11" s="62" customFormat="1" ht="30.9" customHeight="1" thickBot="1" x14ac:dyDescent="0.25">
      <c r="A7" s="1160"/>
      <c r="B7" s="1167"/>
      <c r="C7" s="1168"/>
      <c r="D7" s="236" t="s">
        <v>103</v>
      </c>
      <c r="E7" s="835" t="s">
        <v>520</v>
      </c>
      <c r="F7" s="236" t="s">
        <v>103</v>
      </c>
      <c r="G7" s="237" t="s">
        <v>556</v>
      </c>
      <c r="H7" s="238" t="s">
        <v>555</v>
      </c>
      <c r="I7" s="1170"/>
      <c r="J7" s="1162"/>
      <c r="K7" s="1164"/>
    </row>
    <row r="8" spans="1:11" s="9" customFormat="1" ht="20.100000000000001" customHeight="1" thickBot="1" x14ac:dyDescent="0.35">
      <c r="B8" s="10" t="s">
        <v>98</v>
      </c>
      <c r="C8" s="10"/>
      <c r="D8" s="11"/>
      <c r="E8" s="12"/>
      <c r="F8" s="11"/>
      <c r="G8" s="13"/>
      <c r="H8" s="13"/>
      <c r="I8" s="239"/>
      <c r="J8" s="16"/>
      <c r="K8" s="16"/>
    </row>
    <row r="9" spans="1:11" s="447" customFormat="1" ht="30" customHeight="1" x14ac:dyDescent="0.3">
      <c r="A9" s="430">
        <v>2143</v>
      </c>
      <c r="B9" s="1208" t="s">
        <v>542</v>
      </c>
      <c r="C9" s="1208"/>
      <c r="D9" s="377">
        <v>0</v>
      </c>
      <c r="E9" s="378">
        <v>0</v>
      </c>
      <c r="F9" s="436">
        <v>0</v>
      </c>
      <c r="G9" s="490">
        <v>1000</v>
      </c>
      <c r="H9" s="431">
        <v>1000</v>
      </c>
      <c r="I9" s="1034">
        <v>0</v>
      </c>
      <c r="J9" s="382" t="s">
        <v>58</v>
      </c>
      <c r="K9" s="383">
        <f>I9/G9*100</f>
        <v>0</v>
      </c>
    </row>
    <row r="10" spans="1:11" s="447" customFormat="1" ht="30" customHeight="1" x14ac:dyDescent="0.3">
      <c r="A10" s="564">
        <v>3299</v>
      </c>
      <c r="B10" s="1272" t="s">
        <v>562</v>
      </c>
      <c r="C10" s="1272"/>
      <c r="D10" s="386">
        <v>1130</v>
      </c>
      <c r="E10" s="387">
        <v>981.82</v>
      </c>
      <c r="F10" s="497">
        <v>775</v>
      </c>
      <c r="G10" s="394">
        <v>1014</v>
      </c>
      <c r="H10" s="491">
        <v>410.31</v>
      </c>
      <c r="I10" s="1035">
        <v>1995</v>
      </c>
      <c r="J10" s="392">
        <f>I10/F10*100</f>
        <v>257.41935483870969</v>
      </c>
      <c r="K10" s="393">
        <f>I10/G10*100</f>
        <v>196.74556213017752</v>
      </c>
    </row>
    <row r="11" spans="1:11" s="449" customFormat="1" ht="31.5" customHeight="1" x14ac:dyDescent="0.3">
      <c r="A11" s="428">
        <v>3541</v>
      </c>
      <c r="B11" s="1200" t="s">
        <v>250</v>
      </c>
      <c r="C11" s="1200"/>
      <c r="D11" s="395">
        <v>620</v>
      </c>
      <c r="E11" s="396">
        <v>1048.54</v>
      </c>
      <c r="F11" s="438">
        <v>625</v>
      </c>
      <c r="G11" s="394">
        <v>625</v>
      </c>
      <c r="H11" s="491">
        <v>200.84</v>
      </c>
      <c r="I11" s="1035">
        <v>705</v>
      </c>
      <c r="J11" s="400">
        <f>I11/F11*100</f>
        <v>112.79999999999998</v>
      </c>
      <c r="K11" s="401">
        <f>I11/G11*100</f>
        <v>112.79999999999998</v>
      </c>
    </row>
    <row r="12" spans="1:11" s="449" customFormat="1" ht="31.5" customHeight="1" x14ac:dyDescent="0.3">
      <c r="A12" s="428">
        <v>4312</v>
      </c>
      <c r="B12" s="1200" t="s">
        <v>463</v>
      </c>
      <c r="C12" s="1200"/>
      <c r="D12" s="395">
        <v>0</v>
      </c>
      <c r="E12" s="396">
        <v>150</v>
      </c>
      <c r="F12" s="438">
        <v>0</v>
      </c>
      <c r="G12" s="394">
        <v>700</v>
      </c>
      <c r="H12" s="491">
        <v>700</v>
      </c>
      <c r="I12" s="1035">
        <v>0</v>
      </c>
      <c r="J12" s="400" t="s">
        <v>58</v>
      </c>
      <c r="K12" s="401">
        <f>I12/G12*100</f>
        <v>0</v>
      </c>
    </row>
    <row r="13" spans="1:11" s="449" customFormat="1" ht="29.25" customHeight="1" x14ac:dyDescent="0.3">
      <c r="A13" s="428">
        <v>4349</v>
      </c>
      <c r="B13" s="1200" t="s">
        <v>454</v>
      </c>
      <c r="C13" s="1200"/>
      <c r="D13" s="395">
        <v>250</v>
      </c>
      <c r="E13" s="396">
        <v>244.83</v>
      </c>
      <c r="F13" s="438">
        <v>600</v>
      </c>
      <c r="G13" s="394">
        <v>301</v>
      </c>
      <c r="H13" s="491">
        <v>0</v>
      </c>
      <c r="I13" s="1035">
        <v>800</v>
      </c>
      <c r="J13" s="400">
        <f>I13/F13*100</f>
        <v>133.33333333333331</v>
      </c>
      <c r="K13" s="401">
        <f>I13/G13*100</f>
        <v>265.78073089700996</v>
      </c>
    </row>
    <row r="14" spans="1:11" s="449" customFormat="1" ht="29.25" customHeight="1" x14ac:dyDescent="0.3">
      <c r="A14" s="428">
        <v>4379</v>
      </c>
      <c r="B14" s="1200" t="s">
        <v>515</v>
      </c>
      <c r="C14" s="1200"/>
      <c r="D14" s="395">
        <v>0</v>
      </c>
      <c r="E14" s="396">
        <v>199.5</v>
      </c>
      <c r="F14" s="438">
        <v>0</v>
      </c>
      <c r="G14" s="398">
        <v>0</v>
      </c>
      <c r="H14" s="488">
        <v>0</v>
      </c>
      <c r="I14" s="956">
        <v>0</v>
      </c>
      <c r="J14" s="400" t="s">
        <v>58</v>
      </c>
      <c r="K14" s="401" t="s">
        <v>58</v>
      </c>
    </row>
    <row r="15" spans="1:11" s="449" customFormat="1" ht="20.100000000000001" customHeight="1" x14ac:dyDescent="0.3">
      <c r="A15" s="423">
        <v>5212</v>
      </c>
      <c r="B15" s="1200" t="s">
        <v>132</v>
      </c>
      <c r="C15" s="1200"/>
      <c r="D15" s="395">
        <v>1000</v>
      </c>
      <c r="E15" s="396">
        <v>455.31</v>
      </c>
      <c r="F15" s="438">
        <v>1000</v>
      </c>
      <c r="G15" s="394">
        <v>1000</v>
      </c>
      <c r="H15" s="491">
        <v>211.11</v>
      </c>
      <c r="I15" s="1035">
        <v>1000</v>
      </c>
      <c r="J15" s="400">
        <f t="shared" ref="J15:J23" si="0">I15/F15*100</f>
        <v>100</v>
      </c>
      <c r="K15" s="401">
        <f t="shared" ref="K15:K23" si="1">I15/G15*100</f>
        <v>100</v>
      </c>
    </row>
    <row r="16" spans="1:11" s="449" customFormat="1" ht="20.100000000000001" customHeight="1" x14ac:dyDescent="0.3">
      <c r="A16" s="423">
        <v>5213</v>
      </c>
      <c r="B16" s="1200" t="s">
        <v>133</v>
      </c>
      <c r="C16" s="1200"/>
      <c r="D16" s="395">
        <v>500</v>
      </c>
      <c r="E16" s="396">
        <v>0</v>
      </c>
      <c r="F16" s="438">
        <v>500</v>
      </c>
      <c r="G16" s="394">
        <v>500</v>
      </c>
      <c r="H16" s="491">
        <v>0</v>
      </c>
      <c r="I16" s="1035">
        <v>500</v>
      </c>
      <c r="J16" s="400">
        <f t="shared" si="0"/>
        <v>100</v>
      </c>
      <c r="K16" s="401">
        <f t="shared" si="1"/>
        <v>100</v>
      </c>
    </row>
    <row r="17" spans="1:12" s="449" customFormat="1" ht="20.100000000000001" customHeight="1" x14ac:dyDescent="0.3">
      <c r="A17" s="423">
        <v>5273</v>
      </c>
      <c r="B17" s="1200" t="s">
        <v>215</v>
      </c>
      <c r="C17" s="1200"/>
      <c r="D17" s="417">
        <v>1809</v>
      </c>
      <c r="E17" s="439">
        <v>572.58000000000004</v>
      </c>
      <c r="F17" s="440">
        <v>1810</v>
      </c>
      <c r="G17" s="394">
        <v>1810</v>
      </c>
      <c r="H17" s="491">
        <v>243.08</v>
      </c>
      <c r="I17" s="1035">
        <v>1810</v>
      </c>
      <c r="J17" s="400">
        <f t="shared" si="0"/>
        <v>100</v>
      </c>
      <c r="K17" s="401">
        <f t="shared" si="1"/>
        <v>100</v>
      </c>
    </row>
    <row r="18" spans="1:12" s="449" customFormat="1" ht="20.100000000000001" customHeight="1" x14ac:dyDescent="0.3">
      <c r="A18" s="423">
        <v>5279</v>
      </c>
      <c r="B18" s="1200" t="s">
        <v>134</v>
      </c>
      <c r="C18" s="1200"/>
      <c r="D18" s="417">
        <v>890</v>
      </c>
      <c r="E18" s="439">
        <v>0</v>
      </c>
      <c r="F18" s="440">
        <v>890</v>
      </c>
      <c r="G18" s="394">
        <v>790</v>
      </c>
      <c r="H18" s="491">
        <v>0</v>
      </c>
      <c r="I18" s="1035">
        <v>890</v>
      </c>
      <c r="J18" s="400">
        <f t="shared" si="0"/>
        <v>100</v>
      </c>
      <c r="K18" s="401">
        <f t="shared" si="1"/>
        <v>112.65822784810126</v>
      </c>
    </row>
    <row r="19" spans="1:12" s="449" customFormat="1" ht="31.5" customHeight="1" x14ac:dyDescent="0.3">
      <c r="A19" s="428">
        <v>5399</v>
      </c>
      <c r="B19" s="1200" t="s">
        <v>403</v>
      </c>
      <c r="C19" s="1200"/>
      <c r="D19" s="395">
        <v>0</v>
      </c>
      <c r="E19" s="396">
        <v>1370</v>
      </c>
      <c r="F19" s="438">
        <v>0</v>
      </c>
      <c r="G19" s="394">
        <v>753.69</v>
      </c>
      <c r="H19" s="491">
        <v>753.69</v>
      </c>
      <c r="I19" s="1035">
        <v>0</v>
      </c>
      <c r="J19" s="400" t="s">
        <v>58</v>
      </c>
      <c r="K19" s="401">
        <f t="shared" si="1"/>
        <v>0</v>
      </c>
    </row>
    <row r="20" spans="1:12" s="449" customFormat="1" ht="20.100000000000001" customHeight="1" x14ac:dyDescent="0.3">
      <c r="A20" s="423">
        <v>5512</v>
      </c>
      <c r="B20" s="1200" t="s">
        <v>214</v>
      </c>
      <c r="C20" s="1200"/>
      <c r="D20" s="395">
        <v>500</v>
      </c>
      <c r="E20" s="396">
        <v>3.39</v>
      </c>
      <c r="F20" s="438">
        <v>500</v>
      </c>
      <c r="G20" s="828">
        <v>500</v>
      </c>
      <c r="H20" s="413">
        <v>3.39</v>
      </c>
      <c r="I20" s="1036">
        <v>500</v>
      </c>
      <c r="J20" s="400">
        <f t="shared" si="0"/>
        <v>100</v>
      </c>
      <c r="K20" s="401">
        <f t="shared" si="1"/>
        <v>100</v>
      </c>
    </row>
    <row r="21" spans="1:12" s="449" customFormat="1" ht="20.100000000000001" customHeight="1" x14ac:dyDescent="0.3">
      <c r="A21" s="423">
        <v>5599</v>
      </c>
      <c r="B21" s="1200" t="s">
        <v>561</v>
      </c>
      <c r="C21" s="1200"/>
      <c r="D21" s="395">
        <v>0</v>
      </c>
      <c r="E21" s="396">
        <v>0</v>
      </c>
      <c r="F21" s="438">
        <v>0</v>
      </c>
      <c r="G21" s="828">
        <v>100</v>
      </c>
      <c r="H21" s="413">
        <v>100</v>
      </c>
      <c r="I21" s="1036">
        <v>100</v>
      </c>
      <c r="J21" s="400" t="s">
        <v>58</v>
      </c>
      <c r="K21" s="401">
        <f t="shared" si="1"/>
        <v>100</v>
      </c>
    </row>
    <row r="22" spans="1:12" s="449" customFormat="1" ht="30" customHeight="1" thickBot="1" x14ac:dyDescent="0.35">
      <c r="A22" s="1039">
        <v>6172</v>
      </c>
      <c r="B22" s="1272" t="s">
        <v>474</v>
      </c>
      <c r="C22" s="1272"/>
      <c r="D22" s="395">
        <v>11627</v>
      </c>
      <c r="E22" s="396">
        <v>10534.99</v>
      </c>
      <c r="F22" s="438">
        <v>14815</v>
      </c>
      <c r="G22" s="828">
        <v>16149</v>
      </c>
      <c r="H22" s="413">
        <v>9865.18</v>
      </c>
      <c r="I22" s="1036">
        <v>15900</v>
      </c>
      <c r="J22" s="400">
        <f t="shared" si="0"/>
        <v>107.32365845426932</v>
      </c>
      <c r="K22" s="401">
        <f t="shared" si="1"/>
        <v>98.458108861229803</v>
      </c>
    </row>
    <row r="23" spans="1:12" s="19" customFormat="1" ht="16.2" thickBot="1" x14ac:dyDescent="0.35">
      <c r="A23" s="192"/>
      <c r="B23" s="348" t="s">
        <v>82</v>
      </c>
      <c r="C23" s="349"/>
      <c r="D23" s="169">
        <f t="shared" ref="D23:I23" si="2">SUM(D9:D22)</f>
        <v>18326</v>
      </c>
      <c r="E23" s="182">
        <f t="shared" si="2"/>
        <v>15560.96</v>
      </c>
      <c r="F23" s="169">
        <f t="shared" si="2"/>
        <v>21515</v>
      </c>
      <c r="G23" s="171">
        <f t="shared" si="2"/>
        <v>25242.690000000002</v>
      </c>
      <c r="H23" s="170">
        <f t="shared" si="2"/>
        <v>13487.6</v>
      </c>
      <c r="I23" s="959">
        <f t="shared" si="2"/>
        <v>24200</v>
      </c>
      <c r="J23" s="176">
        <f t="shared" si="0"/>
        <v>112.47966534975598</v>
      </c>
      <c r="K23" s="177">
        <f t="shared" si="1"/>
        <v>95.869338806601036</v>
      </c>
      <c r="L23" s="9"/>
    </row>
    <row r="24" spans="1:12" ht="14.4" x14ac:dyDescent="0.3">
      <c r="A24" s="20"/>
      <c r="B24" s="20"/>
      <c r="C24" s="20"/>
      <c r="D24" s="159"/>
      <c r="E24" s="158"/>
      <c r="F24" s="159"/>
      <c r="G24" s="161"/>
      <c r="H24" s="161"/>
      <c r="I24" s="161"/>
      <c r="J24" s="971"/>
      <c r="K24" s="25"/>
    </row>
    <row r="25" spans="1:12" s="65" customFormat="1" ht="14.4" x14ac:dyDescent="0.3">
      <c r="A25" s="20"/>
      <c r="B25" s="20"/>
      <c r="C25" s="20"/>
      <c r="D25" s="158"/>
      <c r="E25" s="158"/>
      <c r="F25" s="158"/>
      <c r="G25" s="158"/>
      <c r="H25" s="158"/>
      <c r="I25" s="158"/>
      <c r="J25" s="24"/>
      <c r="K25" s="911"/>
    </row>
    <row r="26" spans="1:12" s="65" customFormat="1" ht="14.4" x14ac:dyDescent="0.3">
      <c r="D26" s="158"/>
      <c r="E26" s="158"/>
      <c r="F26" s="158"/>
      <c r="G26" s="158"/>
      <c r="H26" s="158"/>
      <c r="I26" s="158"/>
      <c r="J26" s="912"/>
      <c r="K26" s="6"/>
    </row>
  </sheetData>
  <mergeCells count="22">
    <mergeCell ref="B9:C9"/>
    <mergeCell ref="B12:C12"/>
    <mergeCell ref="B14:C14"/>
    <mergeCell ref="A2:K2"/>
    <mergeCell ref="A6:A7"/>
    <mergeCell ref="J6:J7"/>
    <mergeCell ref="K6:K7"/>
    <mergeCell ref="B6:C7"/>
    <mergeCell ref="D6:E6"/>
    <mergeCell ref="F6:H6"/>
    <mergeCell ref="I6:I7"/>
    <mergeCell ref="B13:C13"/>
    <mergeCell ref="B11:C11"/>
    <mergeCell ref="B10:C10"/>
    <mergeCell ref="B20:C20"/>
    <mergeCell ref="B15:C15"/>
    <mergeCell ref="B19:C19"/>
    <mergeCell ref="B22:C22"/>
    <mergeCell ref="B18:C18"/>
    <mergeCell ref="B17:C17"/>
    <mergeCell ref="B16:C16"/>
    <mergeCell ref="B21:C21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5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L38"/>
  <sheetViews>
    <sheetView workbookViewId="0">
      <selection activeCell="C1" sqref="C1"/>
    </sheetView>
  </sheetViews>
  <sheetFormatPr defaultColWidth="9.109375" defaultRowHeight="13.8" x14ac:dyDescent="0.3"/>
  <cols>
    <col min="1" max="1" width="8" style="1" customWidth="1"/>
    <col min="2" max="2" width="6.6640625" style="1" customWidth="1"/>
    <col min="3" max="3" width="41.5546875" style="1" customWidth="1"/>
    <col min="4" max="4" width="14.6640625" style="2" customWidth="1"/>
    <col min="5" max="5" width="14.6640625" style="3" customWidth="1"/>
    <col min="6" max="6" width="14.6640625" style="2" customWidth="1"/>
    <col min="7" max="7" width="16" style="3" customWidth="1"/>
    <col min="8" max="8" width="14.6640625" style="3" customWidth="1"/>
    <col min="9" max="9" width="14.6640625" style="697" customWidth="1"/>
    <col min="10" max="10" width="10" style="5" customWidth="1"/>
    <col min="11" max="11" width="9.6640625" style="5" customWidth="1"/>
    <col min="12" max="16384" width="9.109375" style="1"/>
  </cols>
  <sheetData>
    <row r="1" spans="1:11" ht="15" customHeight="1" x14ac:dyDescent="0.3">
      <c r="C1" s="1" t="s">
        <v>574</v>
      </c>
      <c r="K1" s="6"/>
    </row>
    <row r="2" spans="1:11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058"/>
      <c r="K2" s="1158"/>
    </row>
    <row r="3" spans="1:11" ht="15" customHeight="1" x14ac:dyDescent="0.3"/>
    <row r="4" spans="1:11" ht="20.100000000000001" customHeight="1" x14ac:dyDescent="0.35">
      <c r="A4" s="7" t="s">
        <v>255</v>
      </c>
      <c r="J4" s="8"/>
    </row>
    <row r="5" spans="1:11" ht="15" customHeight="1" thickBot="1" x14ac:dyDescent="0.4">
      <c r="A5" s="7"/>
      <c r="K5" s="8" t="s">
        <v>0</v>
      </c>
    </row>
    <row r="6" spans="1:11" s="62" customFormat="1" ht="15.9" customHeight="1" x14ac:dyDescent="0.2">
      <c r="A6" s="1159" t="s">
        <v>85</v>
      </c>
      <c r="B6" s="1165" t="s">
        <v>97</v>
      </c>
      <c r="C6" s="1273"/>
      <c r="D6" s="1060" t="s">
        <v>402</v>
      </c>
      <c r="E6" s="1061"/>
      <c r="F6" s="1060" t="s">
        <v>450</v>
      </c>
      <c r="G6" s="1064"/>
      <c r="H6" s="1061"/>
      <c r="I6" s="1169" t="s">
        <v>507</v>
      </c>
      <c r="J6" s="1161" t="s">
        <v>508</v>
      </c>
      <c r="K6" s="1163" t="s">
        <v>509</v>
      </c>
    </row>
    <row r="7" spans="1:11" s="62" customFormat="1" ht="30.9" customHeight="1" thickBot="1" x14ac:dyDescent="0.25">
      <c r="A7" s="1160"/>
      <c r="B7" s="1167"/>
      <c r="C7" s="1274"/>
      <c r="D7" s="236" t="s">
        <v>103</v>
      </c>
      <c r="E7" s="835" t="s">
        <v>520</v>
      </c>
      <c r="F7" s="236" t="s">
        <v>103</v>
      </c>
      <c r="G7" s="237" t="s">
        <v>556</v>
      </c>
      <c r="H7" s="238" t="s">
        <v>555</v>
      </c>
      <c r="I7" s="1170"/>
      <c r="J7" s="1162"/>
      <c r="K7" s="1164"/>
    </row>
    <row r="8" spans="1:11" s="9" customFormat="1" ht="20.100000000000001" customHeight="1" thickBot="1" x14ac:dyDescent="0.35">
      <c r="A8" s="19"/>
      <c r="B8" s="10" t="s">
        <v>98</v>
      </c>
      <c r="C8" s="10"/>
      <c r="D8" s="832"/>
      <c r="E8" s="833"/>
      <c r="F8" s="11"/>
      <c r="G8" s="239"/>
      <c r="H8" s="239"/>
      <c r="I8" s="239"/>
      <c r="J8" s="16"/>
      <c r="K8" s="16"/>
    </row>
    <row r="9" spans="1:11" ht="30" customHeight="1" x14ac:dyDescent="0.3">
      <c r="A9" s="1179">
        <v>2219</v>
      </c>
      <c r="B9" s="1275" t="s">
        <v>278</v>
      </c>
      <c r="C9" s="1276"/>
      <c r="D9" s="377">
        <v>1047</v>
      </c>
      <c r="E9" s="378">
        <v>232.14</v>
      </c>
      <c r="F9" s="412">
        <v>7400</v>
      </c>
      <c r="G9" s="494">
        <v>12413.56</v>
      </c>
      <c r="H9" s="487">
        <v>416.22</v>
      </c>
      <c r="I9" s="955">
        <v>7400</v>
      </c>
      <c r="J9" s="382">
        <f>I9/F9*100</f>
        <v>100</v>
      </c>
      <c r="K9" s="383">
        <f t="shared" ref="K9:K35" si="0">I9/G9*100</f>
        <v>59.612230496328209</v>
      </c>
    </row>
    <row r="10" spans="1:11" ht="15" customHeight="1" x14ac:dyDescent="0.3">
      <c r="A10" s="1174"/>
      <c r="B10" s="863" t="s">
        <v>92</v>
      </c>
      <c r="C10" s="565" t="s">
        <v>138</v>
      </c>
      <c r="D10" s="79">
        <v>0</v>
      </c>
      <c r="E10" s="96">
        <v>33.03</v>
      </c>
      <c r="F10" s="93">
        <v>0</v>
      </c>
      <c r="G10" s="771">
        <v>3263.55</v>
      </c>
      <c r="H10" s="772">
        <v>57.6</v>
      </c>
      <c r="I10" s="957">
        <v>0</v>
      </c>
      <c r="J10" s="77" t="s">
        <v>58</v>
      </c>
      <c r="K10" s="78">
        <f t="shared" si="0"/>
        <v>0</v>
      </c>
    </row>
    <row r="11" spans="1:11" ht="20.100000000000001" customHeight="1" x14ac:dyDescent="0.3">
      <c r="A11" s="564">
        <v>2219</v>
      </c>
      <c r="B11" s="1278" t="s">
        <v>421</v>
      </c>
      <c r="C11" s="1279"/>
      <c r="D11" s="386">
        <v>30</v>
      </c>
      <c r="E11" s="387">
        <v>30</v>
      </c>
      <c r="F11" s="450">
        <v>30</v>
      </c>
      <c r="G11" s="495">
        <v>30</v>
      </c>
      <c r="H11" s="583">
        <v>30</v>
      </c>
      <c r="I11" s="956">
        <v>30</v>
      </c>
      <c r="J11" s="392">
        <f t="shared" ref="J11:J35" si="1">I11/F11*100</f>
        <v>100</v>
      </c>
      <c r="K11" s="393">
        <f t="shared" si="0"/>
        <v>100</v>
      </c>
    </row>
    <row r="12" spans="1:11" s="63" customFormat="1" ht="30" customHeight="1" x14ac:dyDescent="0.3">
      <c r="A12" s="428">
        <v>2239</v>
      </c>
      <c r="B12" s="1278" t="s">
        <v>206</v>
      </c>
      <c r="C12" s="1279"/>
      <c r="D12" s="395">
        <v>1940</v>
      </c>
      <c r="E12" s="396">
        <v>1940</v>
      </c>
      <c r="F12" s="450">
        <v>1940</v>
      </c>
      <c r="G12" s="452">
        <v>1940</v>
      </c>
      <c r="H12" s="488">
        <v>1690</v>
      </c>
      <c r="I12" s="956">
        <v>1940</v>
      </c>
      <c r="J12" s="400">
        <f t="shared" si="1"/>
        <v>100</v>
      </c>
      <c r="K12" s="401">
        <f t="shared" si="0"/>
        <v>100</v>
      </c>
    </row>
    <row r="13" spans="1:11" s="63" customFormat="1" ht="45" customHeight="1" x14ac:dyDescent="0.3">
      <c r="A13" s="1153">
        <v>2292</v>
      </c>
      <c r="B13" s="1285" t="s">
        <v>467</v>
      </c>
      <c r="C13" s="1286"/>
      <c r="D13" s="395">
        <f>SUM(D14:D22)</f>
        <v>161054</v>
      </c>
      <c r="E13" s="396">
        <f t="shared" ref="E13:I13" si="2">SUM(E14:E22)</f>
        <v>195127.15999999997</v>
      </c>
      <c r="F13" s="450">
        <f t="shared" si="2"/>
        <v>234987</v>
      </c>
      <c r="G13" s="452">
        <f t="shared" si="2"/>
        <v>252859.79000000004</v>
      </c>
      <c r="H13" s="488">
        <f t="shared" si="2"/>
        <v>182198.56</v>
      </c>
      <c r="I13" s="956">
        <f t="shared" si="2"/>
        <v>355116</v>
      </c>
      <c r="J13" s="400">
        <f t="shared" si="1"/>
        <v>151.12155140497134</v>
      </c>
      <c r="K13" s="401">
        <f t="shared" si="0"/>
        <v>140.43988567735502</v>
      </c>
    </row>
    <row r="14" spans="1:11" s="63" customFormat="1" ht="15" customHeight="1" x14ac:dyDescent="0.3">
      <c r="A14" s="1154"/>
      <c r="B14" s="1193" t="s">
        <v>92</v>
      </c>
      <c r="C14" s="498" t="s">
        <v>124</v>
      </c>
      <c r="D14" s="79">
        <v>15274</v>
      </c>
      <c r="E14" s="96">
        <v>19576.98</v>
      </c>
      <c r="F14" s="93">
        <v>28355</v>
      </c>
      <c r="G14" s="771">
        <v>29571.39</v>
      </c>
      <c r="H14" s="942">
        <v>22181.49</v>
      </c>
      <c r="I14" s="962">
        <v>46447</v>
      </c>
      <c r="J14" s="77">
        <f>I14/F14*100</f>
        <v>163.80532533944628</v>
      </c>
      <c r="K14" s="78">
        <f>I14/G14*100</f>
        <v>157.06735462891669</v>
      </c>
    </row>
    <row r="15" spans="1:11" s="63" customFormat="1" ht="15" customHeight="1" x14ac:dyDescent="0.3">
      <c r="A15" s="1154"/>
      <c r="B15" s="1194"/>
      <c r="C15" s="498" t="s">
        <v>346</v>
      </c>
      <c r="D15" s="73">
        <v>70000</v>
      </c>
      <c r="E15" s="97">
        <v>108715.76</v>
      </c>
      <c r="F15" s="90">
        <v>125352</v>
      </c>
      <c r="G15" s="771">
        <v>138059.82</v>
      </c>
      <c r="H15" s="942">
        <v>103544.82</v>
      </c>
      <c r="I15" s="962">
        <v>206389</v>
      </c>
      <c r="J15" s="77">
        <f>I15/F15*100</f>
        <v>164.647552492182</v>
      </c>
      <c r="K15" s="78">
        <f>I15/G15*100</f>
        <v>149.49244465189076</v>
      </c>
    </row>
    <row r="16" spans="1:11" s="63" customFormat="1" ht="15" customHeight="1" x14ac:dyDescent="0.3">
      <c r="A16" s="1154"/>
      <c r="B16" s="1194"/>
      <c r="C16" s="498" t="s">
        <v>125</v>
      </c>
      <c r="D16" s="73">
        <v>430</v>
      </c>
      <c r="E16" s="97">
        <v>430</v>
      </c>
      <c r="F16" s="90">
        <v>430</v>
      </c>
      <c r="G16" s="771">
        <v>430</v>
      </c>
      <c r="H16" s="942">
        <v>430</v>
      </c>
      <c r="I16" s="962">
        <v>1430</v>
      </c>
      <c r="J16" s="77">
        <f>I16/F16*100</f>
        <v>332.55813953488371</v>
      </c>
      <c r="K16" s="78">
        <f>I16/G16*100</f>
        <v>332.55813953488371</v>
      </c>
    </row>
    <row r="17" spans="1:11" s="63" customFormat="1" ht="15" customHeight="1" x14ac:dyDescent="0.3">
      <c r="A17" s="1154"/>
      <c r="B17" s="1194"/>
      <c r="C17" s="498" t="s">
        <v>422</v>
      </c>
      <c r="D17" s="774">
        <v>1550</v>
      </c>
      <c r="E17" s="76">
        <v>1550</v>
      </c>
      <c r="F17" s="775">
        <v>1550</v>
      </c>
      <c r="G17" s="771">
        <v>1550</v>
      </c>
      <c r="H17" s="942">
        <v>1162.8</v>
      </c>
      <c r="I17" s="962">
        <v>1550</v>
      </c>
      <c r="J17" s="77">
        <f t="shared" si="1"/>
        <v>100</v>
      </c>
      <c r="K17" s="78">
        <f t="shared" si="0"/>
        <v>100</v>
      </c>
    </row>
    <row r="18" spans="1:11" s="63" customFormat="1" ht="15" customHeight="1" x14ac:dyDescent="0.3">
      <c r="A18" s="1154"/>
      <c r="B18" s="1194"/>
      <c r="C18" s="572" t="s">
        <v>404</v>
      </c>
      <c r="D18" s="73">
        <v>20000</v>
      </c>
      <c r="E18" s="97">
        <v>15003</v>
      </c>
      <c r="F18" s="90">
        <v>20000</v>
      </c>
      <c r="G18" s="771">
        <v>20000</v>
      </c>
      <c r="H18" s="942">
        <v>15003</v>
      </c>
      <c r="I18" s="962">
        <v>20000</v>
      </c>
      <c r="J18" s="77">
        <f t="shared" si="1"/>
        <v>100</v>
      </c>
      <c r="K18" s="78">
        <f t="shared" si="0"/>
        <v>100</v>
      </c>
    </row>
    <row r="19" spans="1:11" s="63" customFormat="1" ht="15" customHeight="1" x14ac:dyDescent="0.3">
      <c r="A19" s="1154"/>
      <c r="B19" s="1194"/>
      <c r="C19" s="572" t="s">
        <v>423</v>
      </c>
      <c r="D19" s="73">
        <v>4300</v>
      </c>
      <c r="E19" s="97">
        <v>4300</v>
      </c>
      <c r="F19" s="90">
        <v>4300</v>
      </c>
      <c r="G19" s="771">
        <v>4300</v>
      </c>
      <c r="H19" s="942">
        <v>3231</v>
      </c>
      <c r="I19" s="962">
        <v>4300</v>
      </c>
      <c r="J19" s="77">
        <f t="shared" si="1"/>
        <v>100</v>
      </c>
      <c r="K19" s="78">
        <f t="shared" si="0"/>
        <v>100</v>
      </c>
    </row>
    <row r="20" spans="1:11" s="63" customFormat="1" ht="15" customHeight="1" x14ac:dyDescent="0.3">
      <c r="A20" s="1154"/>
      <c r="B20" s="1194"/>
      <c r="C20" s="498" t="s">
        <v>372</v>
      </c>
      <c r="D20" s="73">
        <v>7000</v>
      </c>
      <c r="E20" s="97">
        <v>5631.33</v>
      </c>
      <c r="F20" s="90">
        <v>7000</v>
      </c>
      <c r="G20" s="771">
        <v>8368.67</v>
      </c>
      <c r="H20" s="942">
        <v>3331.37</v>
      </c>
      <c r="I20" s="962">
        <v>7000</v>
      </c>
      <c r="J20" s="77">
        <f t="shared" si="1"/>
        <v>100</v>
      </c>
      <c r="K20" s="78">
        <f t="shared" si="0"/>
        <v>83.645310425670985</v>
      </c>
    </row>
    <row r="21" spans="1:11" s="63" customFormat="1" ht="15" customHeight="1" x14ac:dyDescent="0.3">
      <c r="A21" s="1154"/>
      <c r="B21" s="1194"/>
      <c r="C21" s="498" t="s">
        <v>374</v>
      </c>
      <c r="D21" s="73">
        <v>14000</v>
      </c>
      <c r="E21" s="97">
        <v>11420.09</v>
      </c>
      <c r="F21" s="90">
        <v>14000</v>
      </c>
      <c r="G21" s="771">
        <v>16579.91</v>
      </c>
      <c r="H21" s="942">
        <v>7808.08</v>
      </c>
      <c r="I21" s="962">
        <v>14000</v>
      </c>
      <c r="J21" s="77">
        <f t="shared" si="1"/>
        <v>100</v>
      </c>
      <c r="K21" s="78">
        <f t="shared" si="0"/>
        <v>84.439541589791503</v>
      </c>
    </row>
    <row r="22" spans="1:11" s="63" customFormat="1" ht="15" customHeight="1" x14ac:dyDescent="0.3">
      <c r="A22" s="1174"/>
      <c r="B22" s="1277"/>
      <c r="C22" s="498" t="s">
        <v>229</v>
      </c>
      <c r="D22" s="73">
        <v>28500</v>
      </c>
      <c r="E22" s="97">
        <v>28500</v>
      </c>
      <c r="F22" s="90">
        <v>34000</v>
      </c>
      <c r="G22" s="771">
        <v>34000</v>
      </c>
      <c r="H22" s="942">
        <v>25506</v>
      </c>
      <c r="I22" s="962">
        <v>54000</v>
      </c>
      <c r="J22" s="77">
        <f t="shared" si="1"/>
        <v>158.8235294117647</v>
      </c>
      <c r="K22" s="78">
        <f t="shared" si="0"/>
        <v>158.8235294117647</v>
      </c>
    </row>
    <row r="23" spans="1:11" s="63" customFormat="1" ht="20.100000000000001" customHeight="1" x14ac:dyDescent="0.3">
      <c r="A23" s="1282">
        <v>2292</v>
      </c>
      <c r="B23" s="1280" t="s">
        <v>274</v>
      </c>
      <c r="C23" s="1281"/>
      <c r="D23" s="395">
        <f t="shared" ref="D23" si="3">SUM(D24:D27)</f>
        <v>2559288</v>
      </c>
      <c r="E23" s="396">
        <f t="shared" ref="E23:H23" si="4">SUM(E24:E27)</f>
        <v>2391248.2899999996</v>
      </c>
      <c r="F23" s="438">
        <f t="shared" si="4"/>
        <v>2301961</v>
      </c>
      <c r="G23" s="398">
        <f t="shared" si="4"/>
        <v>2453987.67</v>
      </c>
      <c r="H23" s="488">
        <f t="shared" si="4"/>
        <v>1778260.84</v>
      </c>
      <c r="I23" s="956">
        <f>SUM(I24:I27)</f>
        <v>2336760</v>
      </c>
      <c r="J23" s="400">
        <f t="shared" si="1"/>
        <v>101.51171110196915</v>
      </c>
      <c r="K23" s="401">
        <f t="shared" si="0"/>
        <v>95.222972330582252</v>
      </c>
    </row>
    <row r="24" spans="1:11" s="63" customFormat="1" ht="27" customHeight="1" x14ac:dyDescent="0.3">
      <c r="A24" s="1283"/>
      <c r="B24" s="1180" t="s">
        <v>92</v>
      </c>
      <c r="C24" s="572" t="s">
        <v>394</v>
      </c>
      <c r="D24" s="73">
        <v>2230375</v>
      </c>
      <c r="E24" s="97">
        <v>2125280.71</v>
      </c>
      <c r="F24" s="90">
        <v>1952961</v>
      </c>
      <c r="G24" s="771">
        <v>2099871.92</v>
      </c>
      <c r="H24" s="942">
        <v>1593481.05</v>
      </c>
      <c r="I24" s="962">
        <v>2038760</v>
      </c>
      <c r="J24" s="77">
        <f t="shared" si="1"/>
        <v>104.39327769474147</v>
      </c>
      <c r="K24" s="78">
        <f t="shared" si="0"/>
        <v>97.089731072740861</v>
      </c>
    </row>
    <row r="25" spans="1:11" s="63" customFormat="1" ht="27" customHeight="1" x14ac:dyDescent="0.3">
      <c r="A25" s="1283"/>
      <c r="B25" s="1216"/>
      <c r="C25" s="572" t="s">
        <v>475</v>
      </c>
      <c r="D25" s="73">
        <v>220000</v>
      </c>
      <c r="E25" s="97">
        <v>186512.88</v>
      </c>
      <c r="F25" s="90">
        <v>210000</v>
      </c>
      <c r="G25" s="771">
        <v>210000</v>
      </c>
      <c r="H25" s="942">
        <v>134749</v>
      </c>
      <c r="I25" s="962">
        <v>220000</v>
      </c>
      <c r="J25" s="77">
        <f t="shared" si="1"/>
        <v>104.76190476190477</v>
      </c>
      <c r="K25" s="78">
        <f t="shared" si="0"/>
        <v>104.76190476190477</v>
      </c>
    </row>
    <row r="26" spans="1:11" s="63" customFormat="1" ht="27" customHeight="1" x14ac:dyDescent="0.3">
      <c r="A26" s="1283"/>
      <c r="B26" s="1216"/>
      <c r="C26" s="572" t="s">
        <v>424</v>
      </c>
      <c r="D26" s="73">
        <v>78913</v>
      </c>
      <c r="E26" s="97">
        <v>46156.4</v>
      </c>
      <c r="F26" s="90">
        <v>105000</v>
      </c>
      <c r="G26" s="771">
        <v>105000</v>
      </c>
      <c r="H26" s="942">
        <v>14682</v>
      </c>
      <c r="I26" s="962">
        <v>78000</v>
      </c>
      <c r="J26" s="77">
        <f t="shared" si="1"/>
        <v>74.285714285714292</v>
      </c>
      <c r="K26" s="78">
        <f t="shared" si="0"/>
        <v>74.285714285714292</v>
      </c>
    </row>
    <row r="27" spans="1:11" s="63" customFormat="1" ht="15" customHeight="1" x14ac:dyDescent="0.3">
      <c r="A27" s="1284"/>
      <c r="B27" s="1181"/>
      <c r="C27" s="498" t="s">
        <v>370</v>
      </c>
      <c r="D27" s="73">
        <v>30000</v>
      </c>
      <c r="E27" s="97">
        <v>33298.300000000003</v>
      </c>
      <c r="F27" s="90">
        <v>34000</v>
      </c>
      <c r="G27" s="771">
        <v>39115.75</v>
      </c>
      <c r="H27" s="942">
        <v>35348.79</v>
      </c>
      <c r="I27" s="962">
        <v>0</v>
      </c>
      <c r="J27" s="77">
        <f t="shared" si="1"/>
        <v>0</v>
      </c>
      <c r="K27" s="78">
        <f t="shared" si="0"/>
        <v>0</v>
      </c>
    </row>
    <row r="28" spans="1:11" s="63" customFormat="1" ht="20.100000000000001" customHeight="1" x14ac:dyDescent="0.3">
      <c r="A28" s="1282">
        <v>2294</v>
      </c>
      <c r="B28" s="1280" t="s">
        <v>275</v>
      </c>
      <c r="C28" s="1281"/>
      <c r="D28" s="417">
        <f t="shared" ref="D28" si="5">SUM(D29:D31)</f>
        <v>2603397</v>
      </c>
      <c r="E28" s="439">
        <f t="shared" ref="E28:H28" si="6">SUM(E29:E31)</f>
        <v>2800478.58</v>
      </c>
      <c r="F28" s="440">
        <f t="shared" si="6"/>
        <v>3345039</v>
      </c>
      <c r="G28" s="398">
        <f t="shared" si="6"/>
        <v>3582412.69</v>
      </c>
      <c r="H28" s="429">
        <f t="shared" si="6"/>
        <v>2579350.31</v>
      </c>
      <c r="I28" s="956">
        <f>SUM(I29:I31)</f>
        <v>3964464</v>
      </c>
      <c r="J28" s="400">
        <f t="shared" si="1"/>
        <v>118.51772131804741</v>
      </c>
      <c r="K28" s="401">
        <f t="shared" si="0"/>
        <v>110.66463702148175</v>
      </c>
    </row>
    <row r="29" spans="1:11" s="63" customFormat="1" ht="27" customHeight="1" x14ac:dyDescent="0.3">
      <c r="A29" s="1283"/>
      <c r="B29" s="1180" t="s">
        <v>92</v>
      </c>
      <c r="C29" s="572" t="s">
        <v>395</v>
      </c>
      <c r="D29" s="73">
        <v>2298511</v>
      </c>
      <c r="E29" s="97">
        <v>2584792.66</v>
      </c>
      <c r="F29" s="90">
        <v>2984240</v>
      </c>
      <c r="G29" s="771">
        <v>3221613.69</v>
      </c>
      <c r="H29" s="942">
        <v>2469713.31</v>
      </c>
      <c r="I29" s="962">
        <v>3555464</v>
      </c>
      <c r="J29" s="77">
        <f t="shared" si="1"/>
        <v>119.14135592311609</v>
      </c>
      <c r="K29" s="78">
        <f t="shared" si="0"/>
        <v>110.36282875989394</v>
      </c>
    </row>
    <row r="30" spans="1:11" s="63" customFormat="1" ht="27" customHeight="1" x14ac:dyDescent="0.3">
      <c r="A30" s="1283"/>
      <c r="B30" s="1216"/>
      <c r="C30" s="572" t="s">
        <v>476</v>
      </c>
      <c r="D30" s="73">
        <v>53000</v>
      </c>
      <c r="E30" s="97">
        <v>46081.16</v>
      </c>
      <c r="F30" s="90">
        <v>63000</v>
      </c>
      <c r="G30" s="771">
        <v>63000</v>
      </c>
      <c r="H30" s="942">
        <v>36932</v>
      </c>
      <c r="I30" s="962">
        <v>70000</v>
      </c>
      <c r="J30" s="77">
        <f t="shared" si="1"/>
        <v>111.11111111111111</v>
      </c>
      <c r="K30" s="78">
        <f t="shared" si="0"/>
        <v>111.11111111111111</v>
      </c>
    </row>
    <row r="31" spans="1:11" s="63" customFormat="1" ht="27" customHeight="1" x14ac:dyDescent="0.3">
      <c r="A31" s="1283"/>
      <c r="B31" s="1216"/>
      <c r="C31" s="572" t="s">
        <v>501</v>
      </c>
      <c r="D31" s="73">
        <v>251886</v>
      </c>
      <c r="E31" s="97">
        <v>169604.76</v>
      </c>
      <c r="F31" s="90">
        <v>297799</v>
      </c>
      <c r="G31" s="771">
        <v>297799</v>
      </c>
      <c r="H31" s="942">
        <v>72705</v>
      </c>
      <c r="I31" s="962">
        <v>339000</v>
      </c>
      <c r="J31" s="77">
        <f t="shared" si="1"/>
        <v>113.83517070238651</v>
      </c>
      <c r="K31" s="78">
        <f t="shared" si="0"/>
        <v>113.83517070238651</v>
      </c>
    </row>
    <row r="32" spans="1:11" s="63" customFormat="1" ht="20.100000000000001" customHeight="1" x14ac:dyDescent="0.3">
      <c r="A32" s="492">
        <v>2299</v>
      </c>
      <c r="B32" s="1280" t="s">
        <v>106</v>
      </c>
      <c r="C32" s="1281"/>
      <c r="D32" s="417">
        <v>3638</v>
      </c>
      <c r="E32" s="439">
        <v>101.06</v>
      </c>
      <c r="F32" s="440">
        <v>500</v>
      </c>
      <c r="G32" s="485">
        <v>675.45</v>
      </c>
      <c r="H32" s="443">
        <v>39.39</v>
      </c>
      <c r="I32" s="963">
        <v>500</v>
      </c>
      <c r="J32" s="400">
        <f t="shared" si="1"/>
        <v>100</v>
      </c>
      <c r="K32" s="401">
        <f t="shared" si="0"/>
        <v>74.024724257902136</v>
      </c>
    </row>
    <row r="33" spans="1:12" s="63" customFormat="1" ht="20.100000000000001" customHeight="1" x14ac:dyDescent="0.3">
      <c r="A33" s="492">
        <v>6172</v>
      </c>
      <c r="B33" s="1280" t="s">
        <v>99</v>
      </c>
      <c r="C33" s="1281"/>
      <c r="D33" s="395">
        <v>200</v>
      </c>
      <c r="E33" s="396">
        <v>174.6</v>
      </c>
      <c r="F33" s="438">
        <v>200</v>
      </c>
      <c r="G33" s="485">
        <v>200</v>
      </c>
      <c r="H33" s="443">
        <v>0</v>
      </c>
      <c r="I33" s="963">
        <v>200</v>
      </c>
      <c r="J33" s="400">
        <f t="shared" si="1"/>
        <v>100</v>
      </c>
      <c r="K33" s="401">
        <f t="shared" si="0"/>
        <v>100</v>
      </c>
    </row>
    <row r="34" spans="1:12" s="63" customFormat="1" ht="42.6" customHeight="1" thickBot="1" x14ac:dyDescent="0.35">
      <c r="A34" s="492">
        <v>6221</v>
      </c>
      <c r="B34" s="1278" t="s">
        <v>367</v>
      </c>
      <c r="C34" s="1279"/>
      <c r="D34" s="395">
        <v>0</v>
      </c>
      <c r="E34" s="396">
        <v>7293.65</v>
      </c>
      <c r="F34" s="438">
        <v>0</v>
      </c>
      <c r="G34" s="398">
        <v>0</v>
      </c>
      <c r="H34" s="488">
        <v>0</v>
      </c>
      <c r="I34" s="956">
        <v>0</v>
      </c>
      <c r="J34" s="400" t="s">
        <v>58</v>
      </c>
      <c r="K34" s="401" t="s">
        <v>58</v>
      </c>
    </row>
    <row r="35" spans="1:12" s="19" customFormat="1" ht="16.2" thickBot="1" x14ac:dyDescent="0.35">
      <c r="A35" s="192"/>
      <c r="B35" s="348" t="s">
        <v>82</v>
      </c>
      <c r="C35" s="569"/>
      <c r="D35" s="169">
        <f t="shared" ref="D35:I35" si="7">+D9+D11+D12+D13+D23+D28+SUM(D32:D34)</f>
        <v>5330594</v>
      </c>
      <c r="E35" s="182">
        <f t="shared" si="7"/>
        <v>5396625.4799999995</v>
      </c>
      <c r="F35" s="169">
        <f t="shared" si="7"/>
        <v>5892057</v>
      </c>
      <c r="G35" s="171">
        <f t="shared" si="7"/>
        <v>6304519.1600000001</v>
      </c>
      <c r="H35" s="170">
        <f t="shared" si="7"/>
        <v>4541985.3199999994</v>
      </c>
      <c r="I35" s="959">
        <f t="shared" si="7"/>
        <v>6666410</v>
      </c>
      <c r="J35" s="176">
        <f t="shared" si="1"/>
        <v>113.14232024571385</v>
      </c>
      <c r="K35" s="177">
        <f t="shared" si="0"/>
        <v>105.74018146056359</v>
      </c>
      <c r="L35" s="9"/>
    </row>
    <row r="37" spans="1:12" s="65" customFormat="1" ht="14.4" x14ac:dyDescent="0.3">
      <c r="D37" s="2"/>
      <c r="E37" s="3"/>
      <c r="F37" s="2"/>
      <c r="G37" s="3"/>
      <c r="H37" s="3"/>
      <c r="I37" s="697"/>
    </row>
    <row r="38" spans="1:12" s="65" customFormat="1" ht="14.4" x14ac:dyDescent="0.3">
      <c r="A38" s="909"/>
      <c r="C38" s="159"/>
      <c r="D38" s="158"/>
      <c r="E38" s="158"/>
      <c r="F38" s="158"/>
      <c r="G38" s="158"/>
      <c r="H38" s="158"/>
      <c r="I38" s="158"/>
      <c r="J38" s="910"/>
      <c r="K38" s="6"/>
    </row>
  </sheetData>
  <mergeCells count="24">
    <mergeCell ref="B24:B27"/>
    <mergeCell ref="B9:C9"/>
    <mergeCell ref="B14:B22"/>
    <mergeCell ref="B34:C34"/>
    <mergeCell ref="A13:A22"/>
    <mergeCell ref="B23:C23"/>
    <mergeCell ref="A23:A27"/>
    <mergeCell ref="B12:C12"/>
    <mergeCell ref="B13:C13"/>
    <mergeCell ref="B11:C11"/>
    <mergeCell ref="A28:A31"/>
    <mergeCell ref="B28:C28"/>
    <mergeCell ref="B32:C32"/>
    <mergeCell ref="B33:C33"/>
    <mergeCell ref="B29:B31"/>
    <mergeCell ref="A9:A10"/>
    <mergeCell ref="A2:K2"/>
    <mergeCell ref="A6:A7"/>
    <mergeCell ref="B6:C7"/>
    <mergeCell ref="D6:E6"/>
    <mergeCell ref="F6:H6"/>
    <mergeCell ref="J6:J7"/>
    <mergeCell ref="K6:K7"/>
    <mergeCell ref="I6:I7"/>
  </mergeCells>
  <pageMargins left="0.70866141732283472" right="0.70866141732283472" top="0.78740157480314965" bottom="0.78740157480314965" header="0.31496062992125984" footer="0.31496062992125984"/>
  <pageSetup paperSize="9" scale="53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J23"/>
  <sheetViews>
    <sheetView workbookViewId="0">
      <selection activeCell="B1" sqref="B1"/>
    </sheetView>
  </sheetViews>
  <sheetFormatPr defaultColWidth="9.109375" defaultRowHeight="13.8" x14ac:dyDescent="0.3"/>
  <cols>
    <col min="1" max="1" width="7.5546875" style="1" customWidth="1"/>
    <col min="2" max="2" width="47.6640625" style="1" customWidth="1"/>
    <col min="3" max="3" width="14.6640625" style="2" customWidth="1"/>
    <col min="4" max="4" width="14.6640625" style="3" customWidth="1"/>
    <col min="5" max="5" width="14.6640625" style="2" customWidth="1"/>
    <col min="6" max="6" width="16" style="3" customWidth="1"/>
    <col min="7" max="7" width="14.6640625" style="3" customWidth="1"/>
    <col min="8" max="8" width="14.6640625" style="697" customWidth="1"/>
    <col min="9" max="9" width="9.88671875" style="5" customWidth="1"/>
    <col min="10" max="10" width="9.6640625" style="5" customWidth="1"/>
    <col min="11" max="16384" width="9.109375" style="1"/>
  </cols>
  <sheetData>
    <row r="1" spans="1:10" ht="15" customHeight="1" x14ac:dyDescent="0.3">
      <c r="B1" s="1" t="s">
        <v>574</v>
      </c>
      <c r="J1" s="6"/>
    </row>
    <row r="2" spans="1:10" ht="20.100000000000001" customHeight="1" x14ac:dyDescent="0.45">
      <c r="A2" s="1157" t="s">
        <v>510</v>
      </c>
      <c r="B2" s="1058"/>
      <c r="C2" s="1058"/>
      <c r="D2" s="1058"/>
      <c r="E2" s="1058"/>
      <c r="F2" s="1058"/>
      <c r="G2" s="1058"/>
      <c r="H2" s="1058"/>
      <c r="I2" s="1058"/>
      <c r="J2" s="1158"/>
    </row>
    <row r="3" spans="1:10" ht="15" customHeight="1" x14ac:dyDescent="0.3"/>
    <row r="4" spans="1:10" ht="20.100000000000001" customHeight="1" x14ac:dyDescent="0.35">
      <c r="A4" s="7" t="s">
        <v>256</v>
      </c>
      <c r="I4" s="8"/>
    </row>
    <row r="5" spans="1:10" ht="15" customHeight="1" thickBot="1" x14ac:dyDescent="0.4">
      <c r="A5" s="7"/>
      <c r="J5" s="8" t="s">
        <v>0</v>
      </c>
    </row>
    <row r="6" spans="1:10" s="62" customFormat="1" ht="15.9" customHeight="1" x14ac:dyDescent="0.2">
      <c r="A6" s="1159" t="s">
        <v>85</v>
      </c>
      <c r="B6" s="1270" t="s">
        <v>97</v>
      </c>
      <c r="C6" s="1060" t="s">
        <v>402</v>
      </c>
      <c r="D6" s="1061"/>
      <c r="E6" s="1060" t="s">
        <v>450</v>
      </c>
      <c r="F6" s="1064"/>
      <c r="G6" s="1061"/>
      <c r="H6" s="1169" t="s">
        <v>507</v>
      </c>
      <c r="I6" s="1161" t="s">
        <v>508</v>
      </c>
      <c r="J6" s="1163" t="s">
        <v>509</v>
      </c>
    </row>
    <row r="7" spans="1:10" s="62" customFormat="1" ht="27.75" customHeight="1" thickBot="1" x14ac:dyDescent="0.25">
      <c r="A7" s="1160"/>
      <c r="B7" s="1271"/>
      <c r="C7" s="236" t="s">
        <v>103</v>
      </c>
      <c r="D7" s="835" t="s">
        <v>520</v>
      </c>
      <c r="E7" s="236" t="s">
        <v>103</v>
      </c>
      <c r="F7" s="237" t="s">
        <v>556</v>
      </c>
      <c r="G7" s="238" t="s">
        <v>555</v>
      </c>
      <c r="H7" s="1170"/>
      <c r="I7" s="1162"/>
      <c r="J7" s="1164"/>
    </row>
    <row r="8" spans="1:10" s="9" customFormat="1" ht="20.100000000000001" customHeight="1" thickBot="1" x14ac:dyDescent="0.35">
      <c r="B8" s="10" t="s">
        <v>98</v>
      </c>
      <c r="C8" s="11"/>
      <c r="D8" s="12"/>
      <c r="E8" s="11"/>
      <c r="F8" s="13"/>
      <c r="G8" s="13"/>
      <c r="H8" s="239"/>
      <c r="I8" s="16"/>
      <c r="J8" s="16"/>
    </row>
    <row r="9" spans="1:10" s="19" customFormat="1" ht="20.25" customHeight="1" x14ac:dyDescent="0.3">
      <c r="A9" s="430">
        <v>3636</v>
      </c>
      <c r="B9" s="526" t="s">
        <v>529</v>
      </c>
      <c r="C9" s="377">
        <v>0</v>
      </c>
      <c r="D9" s="378">
        <v>0</v>
      </c>
      <c r="E9" s="436">
        <v>0</v>
      </c>
      <c r="F9" s="380">
        <v>18028.339999999997</v>
      </c>
      <c r="G9" s="487">
        <v>4497.93</v>
      </c>
      <c r="H9" s="955">
        <v>15150</v>
      </c>
      <c r="I9" s="382" t="s">
        <v>58</v>
      </c>
      <c r="J9" s="383">
        <f t="shared" ref="J9:J18" si="0">H9/F9*100</f>
        <v>84.034359236624141</v>
      </c>
    </row>
    <row r="10" spans="1:10" s="19" customFormat="1" ht="20.25" customHeight="1" x14ac:dyDescent="0.3">
      <c r="A10" s="564">
        <v>6172</v>
      </c>
      <c r="B10" s="786" t="s">
        <v>313</v>
      </c>
      <c r="C10" s="386">
        <v>5076</v>
      </c>
      <c r="D10" s="387">
        <v>998.69</v>
      </c>
      <c r="E10" s="497">
        <v>1500</v>
      </c>
      <c r="F10" s="390">
        <v>3054.65</v>
      </c>
      <c r="G10" s="583">
        <v>1140.48</v>
      </c>
      <c r="H10" s="960">
        <v>2394</v>
      </c>
      <c r="I10" s="541">
        <f t="shared" ref="I10" si="1">H10/E10*100</f>
        <v>159.60000000000002</v>
      </c>
      <c r="J10" s="542">
        <f t="shared" ref="J10" si="2">H10/F10*100</f>
        <v>78.372317614129273</v>
      </c>
    </row>
    <row r="11" spans="1:10" s="19" customFormat="1" ht="30" customHeight="1" x14ac:dyDescent="0.3">
      <c r="A11" s="428">
        <v>6172</v>
      </c>
      <c r="B11" s="786" t="s">
        <v>448</v>
      </c>
      <c r="C11" s="386">
        <v>10000</v>
      </c>
      <c r="D11" s="387">
        <v>0</v>
      </c>
      <c r="E11" s="497">
        <v>5000</v>
      </c>
      <c r="F11" s="390">
        <v>0</v>
      </c>
      <c r="G11" s="583">
        <v>0</v>
      </c>
      <c r="H11" s="956">
        <v>0</v>
      </c>
      <c r="I11" s="541">
        <f t="shared" ref="I11:I18" si="3">H11/E11*100</f>
        <v>0</v>
      </c>
      <c r="J11" s="542" t="s">
        <v>58</v>
      </c>
    </row>
    <row r="12" spans="1:10" s="19" customFormat="1" ht="23.25" customHeight="1" x14ac:dyDescent="0.3">
      <c r="A12" s="428">
        <v>6172</v>
      </c>
      <c r="B12" s="786" t="s">
        <v>543</v>
      </c>
      <c r="C12" s="386">
        <v>0</v>
      </c>
      <c r="D12" s="387">
        <v>0</v>
      </c>
      <c r="E12" s="497">
        <v>0</v>
      </c>
      <c r="F12" s="390">
        <v>181.5</v>
      </c>
      <c r="G12" s="583">
        <v>0</v>
      </c>
      <c r="H12" s="956">
        <v>0</v>
      </c>
      <c r="I12" s="541" t="s">
        <v>58</v>
      </c>
      <c r="J12" s="542">
        <f t="shared" ref="J12" si="4">H12/F12*100</f>
        <v>0</v>
      </c>
    </row>
    <row r="13" spans="1:10" s="19" customFormat="1" ht="20.100000000000001" customHeight="1" x14ac:dyDescent="0.3">
      <c r="A13" s="428">
        <v>6172</v>
      </c>
      <c r="B13" s="786" t="s">
        <v>447</v>
      </c>
      <c r="C13" s="386">
        <v>73</v>
      </c>
      <c r="D13" s="387">
        <v>405.95</v>
      </c>
      <c r="E13" s="497">
        <v>1496</v>
      </c>
      <c r="F13" s="390">
        <v>368.55</v>
      </c>
      <c r="G13" s="583">
        <v>276.95</v>
      </c>
      <c r="H13" s="956">
        <v>600</v>
      </c>
      <c r="I13" s="541">
        <f t="shared" si="3"/>
        <v>40.106951871657756</v>
      </c>
      <c r="J13" s="542">
        <f t="shared" si="0"/>
        <v>162.80016280016278</v>
      </c>
    </row>
    <row r="14" spans="1:10" s="19" customFormat="1" ht="20.100000000000001" customHeight="1" x14ac:dyDescent="0.3">
      <c r="A14" s="428">
        <v>6172</v>
      </c>
      <c r="B14" s="786" t="s">
        <v>425</v>
      </c>
      <c r="C14" s="386">
        <v>1</v>
      </c>
      <c r="D14" s="387">
        <v>1</v>
      </c>
      <c r="E14" s="497">
        <v>104</v>
      </c>
      <c r="F14" s="390">
        <v>105.75</v>
      </c>
      <c r="G14" s="583">
        <v>105.75</v>
      </c>
      <c r="H14" s="958">
        <v>106</v>
      </c>
      <c r="I14" s="541">
        <f t="shared" si="3"/>
        <v>101.92307692307692</v>
      </c>
      <c r="J14" s="542">
        <f t="shared" si="0"/>
        <v>100.23640661938533</v>
      </c>
    </row>
    <row r="15" spans="1:10" s="19" customFormat="1" ht="20.100000000000001" customHeight="1" x14ac:dyDescent="0.3">
      <c r="A15" s="428">
        <v>6172</v>
      </c>
      <c r="B15" s="786" t="s">
        <v>458</v>
      </c>
      <c r="C15" s="386">
        <v>0</v>
      </c>
      <c r="D15" s="387">
        <v>116.16</v>
      </c>
      <c r="E15" s="497">
        <v>0</v>
      </c>
      <c r="F15" s="390">
        <v>0</v>
      </c>
      <c r="G15" s="583">
        <v>0</v>
      </c>
      <c r="H15" s="958">
        <v>0</v>
      </c>
      <c r="I15" s="541" t="s">
        <v>58</v>
      </c>
      <c r="J15" s="542" t="s">
        <v>58</v>
      </c>
    </row>
    <row r="16" spans="1:10" s="19" customFormat="1" ht="20.100000000000001" customHeight="1" x14ac:dyDescent="0.3">
      <c r="A16" s="428">
        <v>6172</v>
      </c>
      <c r="B16" s="786" t="s">
        <v>530</v>
      </c>
      <c r="C16" s="386">
        <v>0</v>
      </c>
      <c r="D16" s="387">
        <v>0</v>
      </c>
      <c r="E16" s="497">
        <v>0</v>
      </c>
      <c r="F16" s="390">
        <v>2177.6999999999998</v>
      </c>
      <c r="G16" s="583">
        <v>80.25</v>
      </c>
      <c r="H16" s="958">
        <v>3752</v>
      </c>
      <c r="I16" s="541" t="s">
        <v>58</v>
      </c>
      <c r="J16" s="542">
        <f t="shared" si="0"/>
        <v>172.29186756669884</v>
      </c>
    </row>
    <row r="17" spans="1:10" s="19" customFormat="1" ht="20.100000000000001" customHeight="1" thickBot="1" x14ac:dyDescent="0.35">
      <c r="A17" s="918">
        <v>6172</v>
      </c>
      <c r="B17" s="902" t="s">
        <v>536</v>
      </c>
      <c r="C17" s="903">
        <v>0</v>
      </c>
      <c r="D17" s="904">
        <v>0</v>
      </c>
      <c r="E17" s="905">
        <v>0</v>
      </c>
      <c r="F17" s="906">
        <v>961.95</v>
      </c>
      <c r="G17" s="907">
        <v>0</v>
      </c>
      <c r="H17" s="961">
        <v>0</v>
      </c>
      <c r="I17" s="541" t="s">
        <v>58</v>
      </c>
      <c r="J17" s="542">
        <f t="shared" si="0"/>
        <v>0</v>
      </c>
    </row>
    <row r="18" spans="1:10" s="19" customFormat="1" ht="16.2" thickBot="1" x14ac:dyDescent="0.35">
      <c r="A18" s="192"/>
      <c r="B18" s="348" t="s">
        <v>82</v>
      </c>
      <c r="C18" s="169">
        <f t="shared" ref="C18:H18" si="5">SUM(C9:C17)</f>
        <v>15150</v>
      </c>
      <c r="D18" s="170">
        <f t="shared" si="5"/>
        <v>1521.8000000000002</v>
      </c>
      <c r="E18" s="169">
        <f t="shared" si="5"/>
        <v>8100</v>
      </c>
      <c r="F18" s="171">
        <f t="shared" si="5"/>
        <v>24878.44</v>
      </c>
      <c r="G18" s="170">
        <f t="shared" si="5"/>
        <v>6101.36</v>
      </c>
      <c r="H18" s="959">
        <f t="shared" si="5"/>
        <v>22002</v>
      </c>
      <c r="I18" s="176">
        <f t="shared" si="3"/>
        <v>271.62962962962962</v>
      </c>
      <c r="J18" s="177">
        <f t="shared" si="0"/>
        <v>88.438021033473163</v>
      </c>
    </row>
    <row r="19" spans="1:10" ht="14.4" x14ac:dyDescent="0.3">
      <c r="A19" s="20"/>
      <c r="B19" s="20"/>
      <c r="C19" s="159"/>
      <c r="D19" s="158"/>
      <c r="E19" s="159"/>
      <c r="F19" s="161"/>
      <c r="G19" s="161"/>
      <c r="H19" s="161"/>
      <c r="I19" s="24"/>
      <c r="J19" s="25"/>
    </row>
    <row r="20" spans="1:10" ht="14.4" x14ac:dyDescent="0.3">
      <c r="A20" s="20"/>
      <c r="B20" s="20"/>
      <c r="C20" s="158"/>
      <c r="D20" s="158"/>
      <c r="E20" s="158"/>
      <c r="F20" s="158"/>
      <c r="G20" s="158"/>
      <c r="H20" s="158"/>
      <c r="I20" s="894"/>
      <c r="J20" s="25"/>
    </row>
    <row r="21" spans="1:10" ht="14.4" x14ac:dyDescent="0.3">
      <c r="A21" s="20"/>
      <c r="B21" s="20"/>
      <c r="C21" s="21"/>
      <c r="D21" s="22"/>
      <c r="E21" s="21"/>
      <c r="F21" s="23"/>
      <c r="G21" s="23"/>
      <c r="H21" s="23"/>
      <c r="I21" s="24"/>
      <c r="J21" s="25"/>
    </row>
    <row r="22" spans="1:10" ht="15.6" x14ac:dyDescent="0.3">
      <c r="A22" s="310"/>
      <c r="B22" s="89"/>
      <c r="C22" s="932"/>
      <c r="D22" s="731"/>
      <c r="E22" s="932"/>
      <c r="F22" s="731"/>
      <c r="G22" s="731"/>
      <c r="H22" s="731"/>
      <c r="I22" s="933"/>
      <c r="J22" s="934"/>
    </row>
    <row r="23" spans="1:10" x14ac:dyDescent="0.3">
      <c r="A23" s="95"/>
    </row>
  </sheetData>
  <mergeCells count="8">
    <mergeCell ref="A2:J2"/>
    <mergeCell ref="A6:A7"/>
    <mergeCell ref="C6:D6"/>
    <mergeCell ref="E6:G6"/>
    <mergeCell ref="I6:I7"/>
    <mergeCell ref="J6:J7"/>
    <mergeCell ref="B6:B7"/>
    <mergeCell ref="H6:H7"/>
  </mergeCells>
  <pageMargins left="0.70866141732283472" right="0.70866141732283472" top="0.78740157480314965" bottom="0.78740157480314965" header="0.31496062992125984" footer="0.31496062992125984"/>
  <pageSetup paperSize="9" scale="54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S37"/>
  <sheetViews>
    <sheetView tabSelected="1" workbookViewId="0">
      <selection activeCell="E3" sqref="E3"/>
    </sheetView>
  </sheetViews>
  <sheetFormatPr defaultColWidth="9.109375" defaultRowHeight="13.8" x14ac:dyDescent="0.3"/>
  <cols>
    <col min="1" max="1" width="37.88671875" style="29" customWidth="1"/>
    <col min="2" max="2" width="13.6640625" style="40" customWidth="1"/>
    <col min="3" max="3" width="15.109375" style="31" customWidth="1"/>
    <col min="4" max="4" width="14.6640625" style="31" customWidth="1"/>
    <col min="5" max="5" width="14.33203125" style="31" customWidth="1"/>
    <col min="6" max="6" width="13.6640625" style="40" customWidth="1"/>
    <col min="7" max="7" width="13.88671875" style="31" customWidth="1"/>
    <col min="8" max="8" width="13.44140625" style="31" customWidth="1"/>
    <col min="9" max="9" width="13.5546875" style="31" customWidth="1"/>
    <col min="10" max="10" width="13.6640625" style="40" customWidth="1"/>
    <col min="11" max="12" width="14.6640625" style="31" customWidth="1"/>
    <col min="13" max="13" width="13.6640625" style="31" customWidth="1"/>
    <col min="14" max="14" width="15" style="29" customWidth="1"/>
    <col min="15" max="15" width="15" style="31" customWidth="1"/>
    <col min="16" max="16" width="15" style="29" customWidth="1"/>
    <col min="17" max="17" width="13.6640625" style="29" customWidth="1"/>
    <col min="18" max="16384" width="9.109375" style="29"/>
  </cols>
  <sheetData>
    <row r="1" spans="1:19" ht="15" customHeight="1" x14ac:dyDescent="0.3">
      <c r="A1" s="29" t="s">
        <v>574</v>
      </c>
    </row>
    <row r="2" spans="1:19" ht="20.100000000000001" customHeight="1" x14ac:dyDescent="0.45">
      <c r="A2" s="27" t="s">
        <v>511</v>
      </c>
      <c r="B2" s="58"/>
      <c r="C2" s="59"/>
      <c r="D2" s="59"/>
    </row>
    <row r="3" spans="1:19" ht="15" customHeight="1" x14ac:dyDescent="0.3"/>
    <row r="4" spans="1:19" ht="20.100000000000001" customHeight="1" x14ac:dyDescent="0.35">
      <c r="A4" s="39" t="s">
        <v>449</v>
      </c>
      <c r="B4" s="702"/>
      <c r="C4" s="702"/>
      <c r="D4" s="702"/>
      <c r="E4" s="736"/>
      <c r="F4" s="702"/>
      <c r="G4" s="702"/>
      <c r="H4" s="702"/>
      <c r="I4" s="736"/>
      <c r="J4" s="702"/>
      <c r="K4" s="702"/>
      <c r="L4" s="702"/>
      <c r="M4" s="736"/>
      <c r="N4" s="702"/>
      <c r="O4" s="702"/>
      <c r="P4" s="702"/>
      <c r="Q4" s="702"/>
    </row>
    <row r="5" spans="1:19" ht="15" customHeight="1" x14ac:dyDescent="0.35">
      <c r="A5" s="39"/>
      <c r="B5" s="60"/>
      <c r="C5" s="61"/>
      <c r="D5" s="61"/>
    </row>
    <row r="6" spans="1:19" ht="15" customHeight="1" thickBot="1" x14ac:dyDescent="0.35">
      <c r="Q6" s="45" t="s">
        <v>0</v>
      </c>
    </row>
    <row r="7" spans="1:19" ht="25.5" customHeight="1" x14ac:dyDescent="0.3">
      <c r="A7" s="1294" t="s">
        <v>25</v>
      </c>
      <c r="B7" s="1287" t="s">
        <v>83</v>
      </c>
      <c r="C7" s="1288"/>
      <c r="D7" s="1288"/>
      <c r="E7" s="1289"/>
      <c r="F7" s="1290" t="s">
        <v>377</v>
      </c>
      <c r="G7" s="1291"/>
      <c r="H7" s="1291"/>
      <c r="I7" s="1292"/>
      <c r="J7" s="1290" t="s">
        <v>350</v>
      </c>
      <c r="K7" s="1291"/>
      <c r="L7" s="1291"/>
      <c r="M7" s="1292"/>
      <c r="N7" s="1293" t="s">
        <v>84</v>
      </c>
      <c r="O7" s="1291"/>
      <c r="P7" s="1291"/>
      <c r="Q7" s="1292"/>
      <c r="S7" s="31"/>
    </row>
    <row r="8" spans="1:19" ht="24.75" customHeight="1" x14ac:dyDescent="0.3">
      <c r="A8" s="1295"/>
      <c r="B8" s="1297" t="s">
        <v>450</v>
      </c>
      <c r="C8" s="1298"/>
      <c r="D8" s="1298"/>
      <c r="E8" s="1299" t="s">
        <v>507</v>
      </c>
      <c r="F8" s="1297" t="s">
        <v>450</v>
      </c>
      <c r="G8" s="1298"/>
      <c r="H8" s="1298"/>
      <c r="I8" s="1299" t="s">
        <v>507</v>
      </c>
      <c r="J8" s="1297" t="s">
        <v>450</v>
      </c>
      <c r="K8" s="1298"/>
      <c r="L8" s="1298"/>
      <c r="M8" s="1299" t="s">
        <v>507</v>
      </c>
      <c r="N8" s="1297" t="s">
        <v>450</v>
      </c>
      <c r="O8" s="1298"/>
      <c r="P8" s="1298"/>
      <c r="Q8" s="1299" t="s">
        <v>507</v>
      </c>
      <c r="S8" s="31"/>
    </row>
    <row r="9" spans="1:19" ht="30" customHeight="1" thickBot="1" x14ac:dyDescent="0.35">
      <c r="A9" s="1296"/>
      <c r="B9" s="132" t="s">
        <v>102</v>
      </c>
      <c r="C9" s="133" t="s">
        <v>556</v>
      </c>
      <c r="D9" s="134" t="s">
        <v>560</v>
      </c>
      <c r="E9" s="1300"/>
      <c r="F9" s="132" t="s">
        <v>102</v>
      </c>
      <c r="G9" s="133" t="s">
        <v>556</v>
      </c>
      <c r="H9" s="134" t="s">
        <v>560</v>
      </c>
      <c r="I9" s="1300"/>
      <c r="J9" s="132" t="s">
        <v>102</v>
      </c>
      <c r="K9" s="133" t="s">
        <v>556</v>
      </c>
      <c r="L9" s="134" t="s">
        <v>560</v>
      </c>
      <c r="M9" s="1300"/>
      <c r="N9" s="132" t="s">
        <v>102</v>
      </c>
      <c r="O9" s="133" t="s">
        <v>556</v>
      </c>
      <c r="P9" s="134" t="s">
        <v>560</v>
      </c>
      <c r="Q9" s="1300"/>
      <c r="S9" s="31"/>
    </row>
    <row r="10" spans="1:19" ht="20.25" customHeight="1" x14ac:dyDescent="0.3">
      <c r="A10" s="105" t="s">
        <v>26</v>
      </c>
      <c r="B10" s="675">
        <f>+'01'!F22</f>
        <v>75132</v>
      </c>
      <c r="C10" s="677">
        <f>+'01'!G22</f>
        <v>81125.149999999994</v>
      </c>
      <c r="D10" s="677">
        <f>+'01'!H22</f>
        <v>49728</v>
      </c>
      <c r="E10" s="817">
        <f>+'01'!I22</f>
        <v>75132</v>
      </c>
      <c r="F10" s="842">
        <v>0</v>
      </c>
      <c r="G10" s="843">
        <v>0</v>
      </c>
      <c r="H10" s="843">
        <v>0</v>
      </c>
      <c r="I10" s="819">
        <v>0</v>
      </c>
      <c r="J10" s="130">
        <f>+'01'!F15</f>
        <v>45500</v>
      </c>
      <c r="K10" s="131">
        <f>+'01'!G15</f>
        <v>45500</v>
      </c>
      <c r="L10" s="160">
        <f>+'01'!H15</f>
        <v>32650.799999999999</v>
      </c>
      <c r="M10" s="819">
        <f>+'01'!I15</f>
        <v>49500</v>
      </c>
      <c r="N10" s="319">
        <v>0</v>
      </c>
      <c r="O10" s="131">
        <v>0</v>
      </c>
      <c r="P10" s="131">
        <v>0</v>
      </c>
      <c r="Q10" s="819">
        <v>0</v>
      </c>
      <c r="R10" s="31"/>
      <c r="S10" s="31"/>
    </row>
    <row r="11" spans="1:19" ht="20.25" customHeight="1" x14ac:dyDescent="0.3">
      <c r="A11" s="104" t="s">
        <v>27</v>
      </c>
      <c r="B11" s="128">
        <f>+'02'!F24</f>
        <v>85155</v>
      </c>
      <c r="C11" s="129">
        <f>+'02'!G24</f>
        <v>83453.119999999995</v>
      </c>
      <c r="D11" s="129">
        <f>+'02'!H24</f>
        <v>44415.529999999992</v>
      </c>
      <c r="E11" s="744">
        <f>+'02'!I24</f>
        <v>80053</v>
      </c>
      <c r="F11" s="842">
        <f>+'02'!F19</f>
        <v>14002</v>
      </c>
      <c r="G11" s="843">
        <f>+'02'!G19</f>
        <v>12548</v>
      </c>
      <c r="H11" s="843">
        <f>+'02'!H19</f>
        <v>6656.12</v>
      </c>
      <c r="I11" s="820">
        <f>+'02'!I19</f>
        <v>12000</v>
      </c>
      <c r="J11" s="130">
        <v>0</v>
      </c>
      <c r="K11" s="131">
        <v>0</v>
      </c>
      <c r="L11" s="160">
        <v>0</v>
      </c>
      <c r="M11" s="820">
        <v>0</v>
      </c>
      <c r="N11" s="319">
        <f>+'02'!F18</f>
        <v>12987</v>
      </c>
      <c r="O11" s="131">
        <f>+'02'!G18</f>
        <v>10187</v>
      </c>
      <c r="P11" s="131">
        <f>+'02'!H18</f>
        <v>4993</v>
      </c>
      <c r="Q11" s="820">
        <f>+'02'!I18</f>
        <v>10272</v>
      </c>
      <c r="R11" s="31"/>
      <c r="S11" s="31"/>
    </row>
    <row r="12" spans="1:19" ht="20.25" customHeight="1" x14ac:dyDescent="0.3">
      <c r="A12" s="104" t="s">
        <v>28</v>
      </c>
      <c r="B12" s="128">
        <f>+'03'!F12</f>
        <v>63074</v>
      </c>
      <c r="C12" s="129">
        <f>+'03'!G12</f>
        <v>69745.960000000006</v>
      </c>
      <c r="D12" s="129">
        <f>+'03'!H12</f>
        <v>45312.86</v>
      </c>
      <c r="E12" s="744">
        <f>+'03'!I12</f>
        <v>73544</v>
      </c>
      <c r="F12" s="842">
        <v>0</v>
      </c>
      <c r="G12" s="843">
        <v>0</v>
      </c>
      <c r="H12" s="843">
        <v>0</v>
      </c>
      <c r="I12" s="820">
        <v>0</v>
      </c>
      <c r="J12" s="130">
        <v>0</v>
      </c>
      <c r="K12" s="131">
        <v>0</v>
      </c>
      <c r="L12" s="160">
        <v>0</v>
      </c>
      <c r="M12" s="820">
        <v>0</v>
      </c>
      <c r="N12" s="319">
        <f>+'03'!F11</f>
        <v>200</v>
      </c>
      <c r="O12" s="131">
        <f>+'03'!G11</f>
        <v>200</v>
      </c>
      <c r="P12" s="131">
        <f>+'03'!H11</f>
        <v>7.7</v>
      </c>
      <c r="Q12" s="820">
        <f>+'03'!I11</f>
        <v>200</v>
      </c>
      <c r="R12" s="31"/>
      <c r="S12" s="31"/>
    </row>
    <row r="13" spans="1:19" ht="20.25" customHeight="1" x14ac:dyDescent="0.3">
      <c r="A13" s="104" t="s">
        <v>29</v>
      </c>
      <c r="B13" s="128">
        <f>+'04'!F23</f>
        <v>2912822</v>
      </c>
      <c r="C13" s="129">
        <f>+'04'!G23</f>
        <v>3145400.7199999997</v>
      </c>
      <c r="D13" s="129">
        <f>+'04'!H23</f>
        <v>2685807.0100000002</v>
      </c>
      <c r="E13" s="744">
        <f>+'04'!I23</f>
        <v>2928401</v>
      </c>
      <c r="F13" s="842">
        <f>+'04'!F14</f>
        <v>4350</v>
      </c>
      <c r="G13" s="843">
        <f>+'04'!G14</f>
        <v>4350</v>
      </c>
      <c r="H13" s="843">
        <f>+'04'!H14</f>
        <v>3262.5</v>
      </c>
      <c r="I13" s="820">
        <f>+'04'!I14</f>
        <v>4350</v>
      </c>
      <c r="J13" s="130">
        <f>+'04'!F12</f>
        <v>158337</v>
      </c>
      <c r="K13" s="131">
        <f>+'04'!G12</f>
        <v>168995.88</v>
      </c>
      <c r="L13" s="131">
        <f>+'04'!H12</f>
        <v>122837</v>
      </c>
      <c r="M13" s="820">
        <f>+'04'!I12</f>
        <v>173916</v>
      </c>
      <c r="N13" s="319">
        <f>+'04'!F13+'04'!F15+'04'!F16+'04'!F18+'04'!F17</f>
        <v>2597630</v>
      </c>
      <c r="O13" s="131">
        <f>+'04'!G13+'04'!G15+'04'!G16+'04'!G18+'04'!G17</f>
        <v>2812630</v>
      </c>
      <c r="P13" s="131">
        <f>+'04'!H13+'04'!H15+'04'!H16+'04'!H18+'04'!H17</f>
        <v>2452202.4500000002</v>
      </c>
      <c r="Q13" s="820">
        <f>+'04'!I13+'04'!I15+'04'!I16+'04'!I17+'04'!I18</f>
        <v>2597630</v>
      </c>
      <c r="R13" s="31"/>
      <c r="S13" s="31"/>
    </row>
    <row r="14" spans="1:19" ht="20.25" customHeight="1" x14ac:dyDescent="0.3">
      <c r="A14" s="104" t="s">
        <v>91</v>
      </c>
      <c r="B14" s="128">
        <f>+'05'!F113</f>
        <v>1121143</v>
      </c>
      <c r="C14" s="129">
        <f>+'05'!G113</f>
        <v>1144401.8499999999</v>
      </c>
      <c r="D14" s="129">
        <f>+'05'!H113</f>
        <v>790165.08</v>
      </c>
      <c r="E14" s="744">
        <f>+'05'!I113</f>
        <v>2299302</v>
      </c>
      <c r="F14" s="842">
        <f>+'05'!F24</f>
        <v>250000</v>
      </c>
      <c r="G14" s="843">
        <f>+'05'!G24</f>
        <v>279202.4499999999</v>
      </c>
      <c r="H14" s="843">
        <f>+'05'!H24</f>
        <v>214310.81000000003</v>
      </c>
      <c r="I14" s="820">
        <f>+'05'!I24</f>
        <v>155000</v>
      </c>
      <c r="J14" s="130">
        <f>'05'!F76</f>
        <v>28451</v>
      </c>
      <c r="K14" s="131">
        <f>'05'!G76</f>
        <v>45363.460000000006</v>
      </c>
      <c r="L14" s="160">
        <f>'05'!H76</f>
        <v>35111.65</v>
      </c>
      <c r="M14" s="820">
        <f>+'05'!I76</f>
        <v>1180810</v>
      </c>
      <c r="N14" s="319">
        <f>+'05'!F23+'05'!F48</f>
        <v>102000</v>
      </c>
      <c r="O14" s="131">
        <f>+'05'!G23+'05'!G48</f>
        <v>114946.73</v>
      </c>
      <c r="P14" s="131">
        <f>+'05'!H23+'05'!H48</f>
        <v>46943.630000000005</v>
      </c>
      <c r="Q14" s="820">
        <f>+'05'!I48+'05'!I23</f>
        <v>102000</v>
      </c>
      <c r="R14" s="31"/>
      <c r="S14" s="31"/>
    </row>
    <row r="15" spans="1:19" ht="20.25" customHeight="1" x14ac:dyDescent="0.3">
      <c r="A15" s="104" t="s">
        <v>30</v>
      </c>
      <c r="B15" s="128">
        <f>+'06'!F76</f>
        <v>592503</v>
      </c>
      <c r="C15" s="129">
        <f>+'06'!G76</f>
        <v>627234.7699999999</v>
      </c>
      <c r="D15" s="129">
        <f>+'06'!H76</f>
        <v>472052.26</v>
      </c>
      <c r="E15" s="744">
        <f>+'06'!I76</f>
        <v>615650</v>
      </c>
      <c r="F15" s="842">
        <f>+'06'!F19+'06'!F26+'06'!F47+'06'!F74</f>
        <v>40238</v>
      </c>
      <c r="G15" s="843">
        <f>+'06'!G19+'06'!G26+'06'!G47+'06'!G74</f>
        <v>42740.25</v>
      </c>
      <c r="H15" s="843">
        <f>+'06'!H19+'06'!H26+'06'!H47+'06'!H74</f>
        <v>32180.690000000002</v>
      </c>
      <c r="I15" s="820">
        <f>+'06'!I19+'06'!I26+'06'!I47+'06'!I74</f>
        <v>25087</v>
      </c>
      <c r="J15" s="130">
        <f>+'06'!F17+'06'!F24+'06'!F45+'06'!F72</f>
        <v>382010</v>
      </c>
      <c r="K15" s="160">
        <f>+'06'!G17+'06'!G24+'06'!G45+'06'!G72</f>
        <v>398778.51999999996</v>
      </c>
      <c r="L15" s="160">
        <f>+'06'!H17+'06'!H24+'06'!H45+'06'!H72</f>
        <v>302113.06</v>
      </c>
      <c r="M15" s="820">
        <f>+'06'!I17+'06'!I24+'06'!I45+'06'!I72</f>
        <v>409036</v>
      </c>
      <c r="N15" s="319">
        <f>+'06'!F18+'06'!F25+'06'!F46+'06'!F73+'06'!F48</f>
        <v>15134</v>
      </c>
      <c r="O15" s="131">
        <f>+'06'!G18+'06'!G25+'06'!G46+'06'!G73+'06'!G48</f>
        <v>20083.080000000002</v>
      </c>
      <c r="P15" s="131">
        <f>+'06'!H18+'06'!H25+'06'!H46+'06'!H73+'06'!H48</f>
        <v>16703.669999999998</v>
      </c>
      <c r="Q15" s="820">
        <f>+'06'!I18+'06'!I25+'06'!I46+'06'!I48+'06'!I73</f>
        <v>15134</v>
      </c>
      <c r="R15" s="31"/>
      <c r="S15" s="31"/>
    </row>
    <row r="16" spans="1:19" ht="20.25" customHeight="1" x14ac:dyDescent="0.3">
      <c r="A16" s="104" t="s">
        <v>226</v>
      </c>
      <c r="B16" s="128">
        <f>+'07'!F22</f>
        <v>755013</v>
      </c>
      <c r="C16" s="129">
        <f>+'07'!G22</f>
        <v>926181.5199999999</v>
      </c>
      <c r="D16" s="129">
        <f>+'07'!H22</f>
        <v>793747.1</v>
      </c>
      <c r="E16" s="744">
        <f>+'07'!I22</f>
        <v>980361</v>
      </c>
      <c r="F16" s="842">
        <f>+'07'!F14+'07'!F19</f>
        <v>13634</v>
      </c>
      <c r="G16" s="843">
        <f>+'07'!G14+'07'!G19</f>
        <v>16369.41</v>
      </c>
      <c r="H16" s="843">
        <f>+'07'!H14+'07'!H19</f>
        <v>13786.83</v>
      </c>
      <c r="I16" s="820">
        <f>+'07'!I14+'07'!I19</f>
        <v>10764</v>
      </c>
      <c r="J16" s="130">
        <f>+'07'!F12+'07'!F17</f>
        <v>678395</v>
      </c>
      <c r="K16" s="160">
        <f>+'07'!G12+'07'!G17</f>
        <v>842243.02999999991</v>
      </c>
      <c r="L16" s="160">
        <f>+'07'!H12+'07'!H17</f>
        <v>721086.22</v>
      </c>
      <c r="M16" s="820">
        <f>+'07'!I12+'07'!I17</f>
        <v>939239</v>
      </c>
      <c r="N16" s="319">
        <f>+'07'!F13+'07'!F18</f>
        <v>900</v>
      </c>
      <c r="O16" s="131">
        <f>+'07'!G13+'07'!G18</f>
        <v>900</v>
      </c>
      <c r="P16" s="131">
        <f>+'07'!H13+'07'!H18</f>
        <v>674.91</v>
      </c>
      <c r="Q16" s="820">
        <f>+'07'!I13</f>
        <v>0</v>
      </c>
      <c r="R16" s="31"/>
      <c r="S16" s="31"/>
    </row>
    <row r="17" spans="1:19" ht="20.25" customHeight="1" x14ac:dyDescent="0.3">
      <c r="A17" s="104" t="s">
        <v>32</v>
      </c>
      <c r="B17" s="128">
        <f>+'08'!F24</f>
        <v>22650</v>
      </c>
      <c r="C17" s="129">
        <f>+'08'!G24</f>
        <v>16178.359999999999</v>
      </c>
      <c r="D17" s="129">
        <f>+'08'!H24</f>
        <v>4095.8</v>
      </c>
      <c r="E17" s="744">
        <f>+'08'!I24</f>
        <v>9100</v>
      </c>
      <c r="F17" s="842">
        <v>0</v>
      </c>
      <c r="G17" s="843">
        <v>0</v>
      </c>
      <c r="H17" s="843">
        <v>0</v>
      </c>
      <c r="I17" s="820">
        <v>0</v>
      </c>
      <c r="J17" s="130">
        <v>0</v>
      </c>
      <c r="K17" s="131">
        <v>0</v>
      </c>
      <c r="L17" s="160">
        <v>0</v>
      </c>
      <c r="M17" s="820">
        <v>0</v>
      </c>
      <c r="N17" s="319">
        <v>0</v>
      </c>
      <c r="O17" s="131">
        <v>0</v>
      </c>
      <c r="P17" s="131">
        <v>0</v>
      </c>
      <c r="Q17" s="820">
        <v>0</v>
      </c>
      <c r="R17" s="31"/>
      <c r="S17" s="31"/>
    </row>
    <row r="18" spans="1:19" ht="20.25" customHeight="1" x14ac:dyDescent="0.3">
      <c r="A18" s="104" t="s">
        <v>33</v>
      </c>
      <c r="B18" s="128">
        <f>+'09'!F32</f>
        <v>77399</v>
      </c>
      <c r="C18" s="129">
        <f>+'09'!G32</f>
        <v>72375.28</v>
      </c>
      <c r="D18" s="129">
        <f>+'09'!H32</f>
        <v>61846.63</v>
      </c>
      <c r="E18" s="744">
        <f>+'09'!I32</f>
        <v>76832</v>
      </c>
      <c r="F18" s="842">
        <f>+'09'!F18</f>
        <v>192</v>
      </c>
      <c r="G18" s="843">
        <f>+'09'!G18</f>
        <v>192</v>
      </c>
      <c r="H18" s="843">
        <f>+'09'!H18</f>
        <v>144</v>
      </c>
      <c r="I18" s="820">
        <f>+'09'!I18</f>
        <v>180</v>
      </c>
      <c r="J18" s="130">
        <f>+'09'!F16</f>
        <v>23310</v>
      </c>
      <c r="K18" s="131">
        <f>+'09'!G16</f>
        <v>23850</v>
      </c>
      <c r="L18" s="160">
        <f>+'09'!H16</f>
        <v>18022.5</v>
      </c>
      <c r="M18" s="820">
        <f>+'09'!I16</f>
        <v>24574</v>
      </c>
      <c r="N18" s="319">
        <f>+'09'!F17+'09'!F13</f>
        <v>48</v>
      </c>
      <c r="O18" s="131">
        <f>+'09'!G17+'09'!G13</f>
        <v>497.71</v>
      </c>
      <c r="P18" s="131">
        <f>+'09'!H17+'09'!H13</f>
        <v>36</v>
      </c>
      <c r="Q18" s="820">
        <f>+'09'!I17</f>
        <v>48</v>
      </c>
      <c r="R18" s="31"/>
      <c r="S18" s="31"/>
    </row>
    <row r="19" spans="1:19" ht="20.25" customHeight="1" x14ac:dyDescent="0.3">
      <c r="A19" s="104" t="s">
        <v>34</v>
      </c>
      <c r="B19" s="128">
        <f>+'10'!F26</f>
        <v>56471</v>
      </c>
      <c r="C19" s="129">
        <f>+'10'!G26</f>
        <v>91532.48000000001</v>
      </c>
      <c r="D19" s="129">
        <f>+'10'!H26</f>
        <v>25540.02</v>
      </c>
      <c r="E19" s="744">
        <f>+'10'!I26</f>
        <v>62971</v>
      </c>
      <c r="F19" s="842">
        <v>0</v>
      </c>
      <c r="G19" s="843">
        <v>0</v>
      </c>
      <c r="H19" s="843">
        <v>0</v>
      </c>
      <c r="I19" s="820">
        <v>0</v>
      </c>
      <c r="J19" s="130">
        <v>0</v>
      </c>
      <c r="K19" s="131">
        <v>0</v>
      </c>
      <c r="L19" s="160">
        <v>0</v>
      </c>
      <c r="M19" s="820">
        <v>0</v>
      </c>
      <c r="N19" s="319">
        <f>+'10'!F21</f>
        <v>200</v>
      </c>
      <c r="O19" s="131">
        <v>0</v>
      </c>
      <c r="P19" s="131">
        <f>+'10'!H21</f>
        <v>0</v>
      </c>
      <c r="Q19" s="820">
        <f>+'10'!I21</f>
        <v>200</v>
      </c>
      <c r="R19" s="31"/>
      <c r="S19" s="31"/>
    </row>
    <row r="20" spans="1:19" ht="20.25" customHeight="1" x14ac:dyDescent="0.3">
      <c r="A20" s="104" t="s">
        <v>35</v>
      </c>
      <c r="B20" s="128">
        <f>+'11'!F36</f>
        <v>24340</v>
      </c>
      <c r="C20" s="129">
        <f>+'11'!G36</f>
        <v>75904.05</v>
      </c>
      <c r="D20" s="129">
        <f>+'11'!H36</f>
        <v>16897.480000000003</v>
      </c>
      <c r="E20" s="744">
        <f>+'11'!I36</f>
        <v>30742</v>
      </c>
      <c r="F20" s="842">
        <f>+'11'!F16+'11'!F27</f>
        <v>8940</v>
      </c>
      <c r="G20" s="843">
        <f>+'11'!G16+'11'!G27</f>
        <v>10312.65</v>
      </c>
      <c r="H20" s="843">
        <f>+'11'!H16+'11'!H27</f>
        <v>4468.63</v>
      </c>
      <c r="I20" s="820">
        <f>+'11'!I16+'11'!I27</f>
        <v>6810</v>
      </c>
      <c r="J20" s="130">
        <v>0</v>
      </c>
      <c r="K20" s="131">
        <v>0</v>
      </c>
      <c r="L20" s="160">
        <v>0</v>
      </c>
      <c r="M20" s="820">
        <v>0</v>
      </c>
      <c r="N20" s="319">
        <f>+'11'!F15+'11'!F26</f>
        <v>1803</v>
      </c>
      <c r="O20" s="131">
        <f>+'11'!G15+'11'!G26</f>
        <v>9953.11</v>
      </c>
      <c r="P20" s="131">
        <f>+'11'!H15+'11'!H26</f>
        <v>2549.9499999999998</v>
      </c>
      <c r="Q20" s="820">
        <f>+'11'!I15+'11'!I26</f>
        <v>3540</v>
      </c>
      <c r="R20" s="31"/>
      <c r="S20" s="31"/>
    </row>
    <row r="21" spans="1:19" ht="20.25" customHeight="1" x14ac:dyDescent="0.3">
      <c r="A21" s="104" t="s">
        <v>36</v>
      </c>
      <c r="B21" s="128">
        <f>+'13'!E17</f>
        <v>2700</v>
      </c>
      <c r="C21" s="129">
        <f>+'13'!F17</f>
        <v>2043.9099999999999</v>
      </c>
      <c r="D21" s="129">
        <f>+'13'!G17</f>
        <v>647.35</v>
      </c>
      <c r="E21" s="744">
        <f>+'13'!H17</f>
        <v>1600</v>
      </c>
      <c r="F21" s="842">
        <v>0</v>
      </c>
      <c r="G21" s="843">
        <v>0</v>
      </c>
      <c r="H21" s="843">
        <v>0</v>
      </c>
      <c r="I21" s="820">
        <v>0</v>
      </c>
      <c r="J21" s="130">
        <v>0</v>
      </c>
      <c r="K21" s="131">
        <v>0</v>
      </c>
      <c r="L21" s="160">
        <v>0</v>
      </c>
      <c r="M21" s="820">
        <v>0</v>
      </c>
      <c r="N21" s="319">
        <v>0</v>
      </c>
      <c r="O21" s="131">
        <v>0</v>
      </c>
      <c r="P21" s="131">
        <v>0</v>
      </c>
      <c r="Q21" s="820">
        <v>0</v>
      </c>
      <c r="R21" s="31"/>
      <c r="S21" s="31"/>
    </row>
    <row r="22" spans="1:19" ht="20.25" customHeight="1" x14ac:dyDescent="0.3">
      <c r="A22" s="104" t="s">
        <v>52</v>
      </c>
      <c r="B22" s="128">
        <f>+'14'!F25</f>
        <v>763980</v>
      </c>
      <c r="C22" s="129">
        <f>+'14'!G25</f>
        <v>821084.49999999988</v>
      </c>
      <c r="D22" s="129">
        <f>+'14'!H25</f>
        <v>578776.27</v>
      </c>
      <c r="E22" s="744">
        <f>+'14'!I25</f>
        <v>836685</v>
      </c>
      <c r="F22" s="842">
        <v>0</v>
      </c>
      <c r="G22" s="843">
        <v>0</v>
      </c>
      <c r="H22" s="843">
        <v>0</v>
      </c>
      <c r="I22" s="820">
        <f>+'14'!M22</f>
        <v>0</v>
      </c>
      <c r="J22" s="130">
        <f>+'14'!F22</f>
        <v>722929</v>
      </c>
      <c r="K22" s="131">
        <f>+'14'!G22</f>
        <v>775336.5</v>
      </c>
      <c r="L22" s="160">
        <f>+'14'!H22</f>
        <v>551543.52</v>
      </c>
      <c r="M22" s="820">
        <f>+'14'!I22</f>
        <v>789340</v>
      </c>
      <c r="N22" s="319">
        <v>0</v>
      </c>
      <c r="O22" s="131">
        <v>0</v>
      </c>
      <c r="P22" s="131">
        <v>0</v>
      </c>
      <c r="Q22" s="820">
        <v>0</v>
      </c>
      <c r="R22" s="31"/>
      <c r="S22" s="31"/>
    </row>
    <row r="23" spans="1:19" ht="20.25" customHeight="1" x14ac:dyDescent="0.3">
      <c r="A23" s="108" t="s">
        <v>78</v>
      </c>
      <c r="B23" s="128">
        <f>+'15'!E10</f>
        <v>1543</v>
      </c>
      <c r="C23" s="129">
        <f>+'15'!F10</f>
        <v>3872.44</v>
      </c>
      <c r="D23" s="129">
        <f>+'15'!G10</f>
        <v>1525.36</v>
      </c>
      <c r="E23" s="744">
        <f>+'15'!H10</f>
        <v>5043</v>
      </c>
      <c r="F23" s="842">
        <v>0</v>
      </c>
      <c r="G23" s="843">
        <v>0</v>
      </c>
      <c r="H23" s="843">
        <v>0</v>
      </c>
      <c r="I23" s="820">
        <v>0</v>
      </c>
      <c r="J23" s="130">
        <v>0</v>
      </c>
      <c r="K23" s="131">
        <v>0</v>
      </c>
      <c r="L23" s="160">
        <v>0</v>
      </c>
      <c r="M23" s="820">
        <v>0</v>
      </c>
      <c r="N23" s="319">
        <v>0</v>
      </c>
      <c r="O23" s="131">
        <v>0</v>
      </c>
      <c r="P23" s="131">
        <v>0</v>
      </c>
      <c r="Q23" s="820">
        <v>0</v>
      </c>
      <c r="R23" s="31"/>
      <c r="S23" s="31"/>
    </row>
    <row r="24" spans="1:19" ht="20.25" customHeight="1" x14ac:dyDescent="0.3">
      <c r="A24" s="104" t="s">
        <v>53</v>
      </c>
      <c r="B24" s="128">
        <f>+'16'!E11</f>
        <v>100</v>
      </c>
      <c r="C24" s="129">
        <f>+'16'!F11</f>
        <v>52.46</v>
      </c>
      <c r="D24" s="129">
        <f>+'16'!G11</f>
        <v>0</v>
      </c>
      <c r="E24" s="744">
        <f>+'16'!H11</f>
        <v>250</v>
      </c>
      <c r="F24" s="842">
        <v>0</v>
      </c>
      <c r="G24" s="843">
        <v>0</v>
      </c>
      <c r="H24" s="843">
        <v>0</v>
      </c>
      <c r="I24" s="820">
        <v>0</v>
      </c>
      <c r="J24" s="130">
        <v>0</v>
      </c>
      <c r="K24" s="131">
        <v>0</v>
      </c>
      <c r="L24" s="160">
        <v>0</v>
      </c>
      <c r="M24" s="820">
        <v>0</v>
      </c>
      <c r="N24" s="319">
        <v>0</v>
      </c>
      <c r="O24" s="131">
        <v>0</v>
      </c>
      <c r="P24" s="131">
        <v>0</v>
      </c>
      <c r="Q24" s="820">
        <v>0</v>
      </c>
      <c r="R24" s="31"/>
      <c r="S24" s="31"/>
    </row>
    <row r="25" spans="1:19" ht="20.25" customHeight="1" x14ac:dyDescent="0.3">
      <c r="A25" s="104" t="s">
        <v>37</v>
      </c>
      <c r="B25" s="128">
        <f>+'17'!F100</f>
        <v>540445</v>
      </c>
      <c r="C25" s="129">
        <f>+'17'!G100</f>
        <v>730061.25</v>
      </c>
      <c r="D25" s="129">
        <f>+'17'!H100</f>
        <v>608808.58000000007</v>
      </c>
      <c r="E25" s="744">
        <f>+'17'!I100</f>
        <v>600445</v>
      </c>
      <c r="F25" s="842">
        <f>+'17'!F13+'17'!F21+'17'!F27+'17'!F32+'17'!F37+'17'!F42+'17'!F47+'17'!F52+'17'!F57+'17'!F63+'17'!F68+'17'!F73+'17'!F78+'17'!F83</f>
        <v>40000</v>
      </c>
      <c r="G25" s="843">
        <f>+'17'!G13+'17'!G21+'17'!G27+'17'!G32+'17'!G37+'17'!G42+'17'!G47+'17'!G52+'17'!G57+'17'!G63+'17'!G68+'17'!G73+'17'!G78+'17'!G83</f>
        <v>40000</v>
      </c>
      <c r="H25" s="843">
        <f>+'17'!H13+'17'!H21+'17'!H27+'17'!H32+'17'!H37+'17'!H42+'17'!H47+'17'!H52+'17'!H57+'17'!H63+'17'!H68+'17'!H73+'17'!H78+'17'!H83</f>
        <v>15574.66</v>
      </c>
      <c r="I25" s="820">
        <f>+'17'!I13+'17'!I21+'17'!I27+'17'!I32+'17'!I37+'17'!I42+'17'!I47+'17'!I52+'17'!I57+'17'!I63+'17'!I68+'17'!I73+'17'!I78+'17'!I83</f>
        <v>30000</v>
      </c>
      <c r="J25" s="130">
        <f>+'17'!F11+'17'!F19+'17'!F25+'17'!F30+'17'!F35+'17'!F40+'17'!F45+'17'!F50+'17'!F55+'17'!F61+'17'!F66+'17'!F71+'17'!F76+'17'!F81</f>
        <v>296701</v>
      </c>
      <c r="K25" s="131">
        <f>+'17'!G11+'17'!G19+'17'!G25+'17'!G30+'17'!G35+'17'!G40+'17'!G45+'17'!G50+'17'!G55+'17'!G61+'17'!G66+'17'!G71+'17'!G76+'17'!G81+'17'!G88</f>
        <v>356027.02</v>
      </c>
      <c r="L25" s="160">
        <f>+'17'!H11+'17'!H19+'17'!H25+'17'!H30+'17'!H35+'17'!H40+'17'!H45+'17'!H50+'17'!H55+'17'!H61+'17'!H66+'17'!H71+'17'!H76+'17'!H81</f>
        <v>311840.36000000004</v>
      </c>
      <c r="M25" s="820">
        <f>+'17'!I81+'17'!I76+'17'!I71+'17'!I66+'17'!I61+'17'!I55+'17'!I50+'17'!I45+'17'!I40+'17'!I35+'17'!I30+'17'!I25+'17'!I19+'17'!I11</f>
        <v>352838</v>
      </c>
      <c r="N25" s="319">
        <f>+'17'!F12+'17'!F20+'17'!F26+'17'!F31+'17'!F36+'17'!F41+'17'!F46+'17'!F51+'17'!F56+'17'!F62+'17'!F67+'17'!F72+'17'!F77+'17'!F82+'17'!F92</f>
        <v>80531</v>
      </c>
      <c r="O25" s="131">
        <f>+'17'!G12+'17'!G20+'17'!G26+'17'!G31+'17'!G36+'17'!G41+'17'!G46+'17'!G51+'17'!G56+'17'!G62+'17'!G67+'17'!G72+'17'!G77+'17'!G82+'17'!G92</f>
        <v>64805.270000000004</v>
      </c>
      <c r="P25" s="131">
        <f>+'17'!H12+'17'!H20+'17'!H26+'17'!H31+'17'!H36+'17'!H41+'17'!H46+'17'!H51+'17'!H56+'17'!H62+'17'!H67+'17'!H72+'17'!H77+'17'!H82+'17'!H92</f>
        <v>53114.94</v>
      </c>
      <c r="Q25" s="820">
        <f>+'17'!I12+'17'!I20+'17'!I26+'17'!I31+'17'!I36+'17'!I41+'17'!I46+'17'!I51+'17'!I56+'17'!I62+'17'!I67+'17'!I72+'17'!I77+'17'!I82+'17'!I92</f>
        <v>91646</v>
      </c>
      <c r="R25" s="31"/>
      <c r="S25" s="31"/>
    </row>
    <row r="26" spans="1:19" ht="20.25" customHeight="1" x14ac:dyDescent="0.3">
      <c r="A26" s="108" t="s">
        <v>79</v>
      </c>
      <c r="B26" s="128">
        <f>+'18'!E18</f>
        <v>3984</v>
      </c>
      <c r="C26" s="129">
        <f>+'18'!F18</f>
        <v>5513.5</v>
      </c>
      <c r="D26" s="129">
        <f>+'18'!G18</f>
        <v>3059.28</v>
      </c>
      <c r="E26" s="744">
        <f>+'18'!H18</f>
        <v>4134</v>
      </c>
      <c r="F26" s="842">
        <v>0</v>
      </c>
      <c r="G26" s="843">
        <v>0</v>
      </c>
      <c r="H26" s="843">
        <v>0</v>
      </c>
      <c r="I26" s="820">
        <v>0</v>
      </c>
      <c r="J26" s="130">
        <v>0</v>
      </c>
      <c r="K26" s="131">
        <v>0</v>
      </c>
      <c r="L26" s="160">
        <v>0</v>
      </c>
      <c r="M26" s="820">
        <v>0</v>
      </c>
      <c r="N26" s="319">
        <v>0</v>
      </c>
      <c r="O26" s="131">
        <v>0</v>
      </c>
      <c r="P26" s="131">
        <v>0</v>
      </c>
      <c r="Q26" s="820">
        <v>0</v>
      </c>
      <c r="R26" s="31"/>
      <c r="S26" s="31"/>
    </row>
    <row r="27" spans="1:19" ht="20.25" customHeight="1" x14ac:dyDescent="0.3">
      <c r="A27" s="108" t="s">
        <v>64</v>
      </c>
      <c r="B27" s="128">
        <f>+'Běžné výdaje kapitol'!D26</f>
        <v>0</v>
      </c>
      <c r="C27" s="129">
        <f>+'Běžné výdaje kapitol'!E26</f>
        <v>35968.589999999997</v>
      </c>
      <c r="D27" s="129">
        <f>+'Běžné výdaje kapitol'!F26</f>
        <v>18740.45</v>
      </c>
      <c r="E27" s="744">
        <v>0</v>
      </c>
      <c r="F27" s="842">
        <v>0</v>
      </c>
      <c r="G27" s="843">
        <v>0</v>
      </c>
      <c r="H27" s="843">
        <v>0</v>
      </c>
      <c r="I27" s="820">
        <v>0</v>
      </c>
      <c r="J27" s="130">
        <v>0</v>
      </c>
      <c r="K27" s="131">
        <v>0</v>
      </c>
      <c r="L27" s="160">
        <v>0</v>
      </c>
      <c r="M27" s="820">
        <v>0</v>
      </c>
      <c r="N27" s="319">
        <v>0</v>
      </c>
      <c r="O27" s="131">
        <v>0</v>
      </c>
      <c r="P27" s="131">
        <v>0</v>
      </c>
      <c r="Q27" s="820">
        <v>0</v>
      </c>
      <c r="R27" s="31"/>
      <c r="S27" s="31"/>
    </row>
    <row r="28" spans="1:19" ht="20.25" customHeight="1" x14ac:dyDescent="0.3">
      <c r="A28" s="104" t="s">
        <v>38</v>
      </c>
      <c r="B28" s="128">
        <f>+'23'!E12</f>
        <v>9242</v>
      </c>
      <c r="C28" s="129">
        <f>+'23'!F12</f>
        <v>96436.160000000003</v>
      </c>
      <c r="D28" s="129">
        <f>+'23'!G12</f>
        <v>91932.180000000008</v>
      </c>
      <c r="E28" s="744">
        <f>+'23'!H12</f>
        <v>9422</v>
      </c>
      <c r="F28" s="842">
        <v>0</v>
      </c>
      <c r="G28" s="843">
        <v>0</v>
      </c>
      <c r="H28" s="843">
        <v>0</v>
      </c>
      <c r="I28" s="820">
        <v>0</v>
      </c>
      <c r="J28" s="130">
        <v>0</v>
      </c>
      <c r="K28" s="131">
        <v>0</v>
      </c>
      <c r="L28" s="160">
        <v>0</v>
      </c>
      <c r="M28" s="820">
        <v>0</v>
      </c>
      <c r="N28" s="319">
        <v>0</v>
      </c>
      <c r="O28" s="131">
        <v>0</v>
      </c>
      <c r="P28" s="131">
        <v>0</v>
      </c>
      <c r="Q28" s="820">
        <v>0</v>
      </c>
      <c r="R28" s="31"/>
      <c r="S28" s="31"/>
    </row>
    <row r="29" spans="1:19" ht="20.25" customHeight="1" x14ac:dyDescent="0.3">
      <c r="A29" s="308" t="s">
        <v>80</v>
      </c>
      <c r="B29" s="128">
        <f>+'24'!E12</f>
        <v>14878</v>
      </c>
      <c r="C29" s="129">
        <f>+'24'!F12</f>
        <v>17693.36</v>
      </c>
      <c r="D29" s="129">
        <f>+'24'!G12</f>
        <v>2812.63</v>
      </c>
      <c r="E29" s="818">
        <f>+'24'!H12</f>
        <v>7400</v>
      </c>
      <c r="F29" s="842">
        <v>0</v>
      </c>
      <c r="G29" s="843">
        <v>0</v>
      </c>
      <c r="H29" s="843">
        <v>0</v>
      </c>
      <c r="I29" s="821">
        <v>0</v>
      </c>
      <c r="J29" s="130">
        <v>0</v>
      </c>
      <c r="K29" s="131">
        <v>0</v>
      </c>
      <c r="L29" s="160">
        <v>0</v>
      </c>
      <c r="M29" s="821">
        <v>0</v>
      </c>
      <c r="N29" s="319">
        <v>0</v>
      </c>
      <c r="O29" s="131">
        <v>0</v>
      </c>
      <c r="P29" s="131">
        <v>0</v>
      </c>
      <c r="Q29" s="821">
        <v>0</v>
      </c>
      <c r="R29" s="31"/>
      <c r="S29" s="31"/>
    </row>
    <row r="30" spans="1:19" ht="20.25" customHeight="1" x14ac:dyDescent="0.3">
      <c r="A30" s="308" t="s">
        <v>81</v>
      </c>
      <c r="B30" s="128">
        <f>+'25'!F23</f>
        <v>21515</v>
      </c>
      <c r="C30" s="129">
        <f>+'25'!G23</f>
        <v>25242.690000000002</v>
      </c>
      <c r="D30" s="129">
        <f>+'25'!H23</f>
        <v>13487.6</v>
      </c>
      <c r="E30" s="818">
        <f>+'25'!I23</f>
        <v>24200</v>
      </c>
      <c r="F30" s="842">
        <v>0</v>
      </c>
      <c r="G30" s="843">
        <v>0</v>
      </c>
      <c r="H30" s="843">
        <v>0</v>
      </c>
      <c r="I30" s="821">
        <v>0</v>
      </c>
      <c r="J30" s="130">
        <v>0</v>
      </c>
      <c r="K30" s="131">
        <v>0</v>
      </c>
      <c r="L30" s="160">
        <v>0</v>
      </c>
      <c r="M30" s="821">
        <v>0</v>
      </c>
      <c r="N30" s="319">
        <v>0</v>
      </c>
      <c r="O30" s="131">
        <v>0</v>
      </c>
      <c r="P30" s="131">
        <v>0</v>
      </c>
      <c r="Q30" s="821">
        <v>0</v>
      </c>
      <c r="R30" s="31"/>
      <c r="S30" s="31"/>
    </row>
    <row r="31" spans="1:19" ht="20.25" customHeight="1" x14ac:dyDescent="0.3">
      <c r="A31" s="308" t="s">
        <v>257</v>
      </c>
      <c r="B31" s="128">
        <f>+'26'!F35</f>
        <v>5892057</v>
      </c>
      <c r="C31" s="129">
        <f>+'26'!G35</f>
        <v>6304519.1600000001</v>
      </c>
      <c r="D31" s="129">
        <f>+'26'!H35</f>
        <v>4541985.3199999994</v>
      </c>
      <c r="E31" s="818">
        <f>+'26'!I35</f>
        <v>6666410</v>
      </c>
      <c r="F31" s="842">
        <f>+'26'!F17</f>
        <v>1550</v>
      </c>
      <c r="G31" s="843">
        <f>+'26'!G17</f>
        <v>1550</v>
      </c>
      <c r="H31" s="843">
        <f>+'26'!H17</f>
        <v>1162.8</v>
      </c>
      <c r="I31" s="821">
        <f>+'26'!I17</f>
        <v>1550</v>
      </c>
      <c r="J31" s="130">
        <f>+'26'!F15</f>
        <v>125352</v>
      </c>
      <c r="K31" s="131">
        <f>+'26'!G15</f>
        <v>138059.82</v>
      </c>
      <c r="L31" s="160">
        <f>+'26'!H15</f>
        <v>103544.82</v>
      </c>
      <c r="M31" s="821">
        <f>+'26'!I15</f>
        <v>206389</v>
      </c>
      <c r="N31" s="319">
        <f>'26'!F10+'26'!F16+'26'!F20+'26'!F21</f>
        <v>21430</v>
      </c>
      <c r="O31" s="131">
        <f>'26'!G10+'26'!G16+'26'!G20+'26'!G21</f>
        <v>28642.13</v>
      </c>
      <c r="P31" s="131">
        <f>'26'!H10+'26'!H16+'26'!H20+'26'!H21</f>
        <v>11627.05</v>
      </c>
      <c r="Q31" s="821">
        <f>+'26'!I16+'26'!I21+'26'!I20</f>
        <v>22430</v>
      </c>
      <c r="R31" s="31"/>
      <c r="S31" s="31"/>
    </row>
    <row r="32" spans="1:19" ht="20.25" customHeight="1" thickBot="1" x14ac:dyDescent="0.35">
      <c r="A32" s="308" t="s">
        <v>258</v>
      </c>
      <c r="B32" s="676">
        <f>+'27'!E18</f>
        <v>8100</v>
      </c>
      <c r="C32" s="678">
        <f>+'27'!F18</f>
        <v>24878.44</v>
      </c>
      <c r="D32" s="678">
        <f>+'27'!G18</f>
        <v>6101.36</v>
      </c>
      <c r="E32" s="818">
        <f>+'27'!H18</f>
        <v>22002</v>
      </c>
      <c r="F32" s="842">
        <v>0</v>
      </c>
      <c r="G32" s="843">
        <v>0</v>
      </c>
      <c r="H32" s="843">
        <v>0</v>
      </c>
      <c r="I32" s="821">
        <v>0</v>
      </c>
      <c r="J32" s="130">
        <v>0</v>
      </c>
      <c r="K32" s="131">
        <v>0</v>
      </c>
      <c r="L32" s="160">
        <v>0</v>
      </c>
      <c r="M32" s="821">
        <v>0</v>
      </c>
      <c r="N32" s="319">
        <v>0</v>
      </c>
      <c r="O32" s="131">
        <v>0</v>
      </c>
      <c r="P32" s="131">
        <v>0</v>
      </c>
      <c r="Q32" s="821">
        <v>0</v>
      </c>
      <c r="R32" s="31"/>
      <c r="S32" s="31"/>
    </row>
    <row r="33" spans="1:19" s="35" customFormat="1" ht="30" customHeight="1" thickBot="1" x14ac:dyDescent="0.35">
      <c r="A33" s="351" t="s">
        <v>82</v>
      </c>
      <c r="B33" s="352">
        <f t="shared" ref="B33:K33" si="0">SUM(B10:B32)</f>
        <v>13044246</v>
      </c>
      <c r="C33" s="353">
        <f t="shared" si="0"/>
        <v>14400899.720000001</v>
      </c>
      <c r="D33" s="354">
        <f t="shared" si="0"/>
        <v>10857484.149999999</v>
      </c>
      <c r="E33" s="745">
        <f>SUM(E10:E32)</f>
        <v>15409679</v>
      </c>
      <c r="F33" s="779">
        <f>SUM(F10:F32)</f>
        <v>372906</v>
      </c>
      <c r="G33" s="780">
        <f t="shared" ref="G33:H33" si="1">SUM(G10:G32)</f>
        <v>407264.75999999989</v>
      </c>
      <c r="H33" s="781">
        <f t="shared" si="1"/>
        <v>291547.03999999998</v>
      </c>
      <c r="I33" s="822">
        <f t="shared" ref="I33" si="2">SUM(I10:I32)</f>
        <v>245741</v>
      </c>
      <c r="J33" s="782">
        <f t="shared" si="0"/>
        <v>2460985</v>
      </c>
      <c r="K33" s="780">
        <f t="shared" si="0"/>
        <v>2794154.2299999995</v>
      </c>
      <c r="L33" s="781">
        <f t="shared" ref="L33:Q33" si="3">SUM(L10:L32)</f>
        <v>2198749.9300000002</v>
      </c>
      <c r="M33" s="822">
        <f t="shared" si="3"/>
        <v>4125642</v>
      </c>
      <c r="N33" s="783">
        <f t="shared" si="3"/>
        <v>2832863</v>
      </c>
      <c r="O33" s="780">
        <f t="shared" si="3"/>
        <v>3062845.03</v>
      </c>
      <c r="P33" s="781">
        <f t="shared" si="3"/>
        <v>2588853.3000000003</v>
      </c>
      <c r="Q33" s="822">
        <f t="shared" si="3"/>
        <v>2843100</v>
      </c>
      <c r="R33" s="31"/>
      <c r="S33" s="31"/>
    </row>
    <row r="34" spans="1:19" x14ac:dyDescent="0.3">
      <c r="B34" s="31"/>
      <c r="F34" s="31"/>
      <c r="N34" s="31"/>
      <c r="P34" s="31"/>
      <c r="Q34" s="40"/>
      <c r="S34" s="31"/>
    </row>
    <row r="35" spans="1:19" x14ac:dyDescent="0.3">
      <c r="B35" s="31"/>
      <c r="F35" s="31"/>
      <c r="J35" s="31"/>
      <c r="N35" s="31"/>
      <c r="P35" s="31"/>
      <c r="Q35" s="31"/>
      <c r="S35" s="31"/>
    </row>
    <row r="36" spans="1:19" x14ac:dyDescent="0.3">
      <c r="A36" s="347"/>
      <c r="B36" s="347"/>
      <c r="C36" s="347"/>
      <c r="D36" s="347"/>
      <c r="E36" s="737"/>
      <c r="F36" s="347"/>
      <c r="G36" s="347"/>
      <c r="H36" s="347"/>
      <c r="I36" s="738"/>
      <c r="J36" s="347"/>
      <c r="K36" s="347"/>
      <c r="L36" s="347"/>
      <c r="M36" s="737"/>
    </row>
    <row r="37" spans="1:19" x14ac:dyDescent="0.3">
      <c r="I37" s="739"/>
      <c r="J37" s="31"/>
    </row>
  </sheetData>
  <mergeCells count="13">
    <mergeCell ref="B7:E7"/>
    <mergeCell ref="J7:M7"/>
    <mergeCell ref="N7:Q7"/>
    <mergeCell ref="A7:A9"/>
    <mergeCell ref="B8:D8"/>
    <mergeCell ref="E8:E9"/>
    <mergeCell ref="J8:L8"/>
    <mergeCell ref="M8:M9"/>
    <mergeCell ref="N8:P8"/>
    <mergeCell ref="Q8:Q9"/>
    <mergeCell ref="F7:I7"/>
    <mergeCell ref="F8:H8"/>
    <mergeCell ref="I8:I9"/>
  </mergeCells>
  <pageMargins left="0.70866141732283472" right="0.70866141732283472" top="0.78740157480314965" bottom="0.78740157480314965" header="0.31496062992125984" footer="0.31496062992125984"/>
  <pageSetup paperSize="9" scale="3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437"/>
  <sheetViews>
    <sheetView workbookViewId="0">
      <selection activeCell="D1" sqref="B1:D1"/>
    </sheetView>
  </sheetViews>
  <sheetFormatPr defaultColWidth="9.109375" defaultRowHeight="13.8" x14ac:dyDescent="0.25"/>
  <cols>
    <col min="1" max="1" width="9.6640625" style="70" customWidth="1"/>
    <col min="2" max="2" width="60.6640625" style="70" customWidth="1"/>
    <col min="3" max="3" width="16.6640625" style="293" customWidth="1"/>
    <col min="4" max="4" width="15.5546875" style="294" customWidth="1"/>
    <col min="5" max="5" width="16.6640625" style="293" customWidth="1"/>
    <col min="6" max="8" width="16.6640625" style="294" customWidth="1"/>
    <col min="9" max="9" width="10.6640625" style="295" customWidth="1"/>
    <col min="10" max="16384" width="9.109375" style="70"/>
  </cols>
  <sheetData>
    <row r="1" spans="1:10" s="57" customFormat="1" ht="15" customHeight="1" x14ac:dyDescent="0.25">
      <c r="A1" s="331"/>
      <c r="B1" s="57" t="s">
        <v>574</v>
      </c>
      <c r="D1" s="524"/>
      <c r="F1" s="524"/>
      <c r="G1" s="524"/>
      <c r="H1" s="524"/>
    </row>
    <row r="2" spans="1:10" s="57" customFormat="1" ht="24" customHeight="1" x14ac:dyDescent="0.25">
      <c r="A2" s="331" t="s">
        <v>511</v>
      </c>
      <c r="B2" s="626"/>
      <c r="D2" s="524"/>
      <c r="F2" s="524"/>
      <c r="G2" s="524"/>
      <c r="H2" s="524"/>
    </row>
    <row r="3" spans="1:10" s="628" customFormat="1" ht="15" customHeight="1" x14ac:dyDescent="0.25">
      <c r="A3" s="627"/>
      <c r="D3" s="629"/>
      <c r="H3" s="629"/>
    </row>
    <row r="4" spans="1:10" s="628" customFormat="1" ht="20.100000000000001" customHeight="1" x14ac:dyDescent="0.25">
      <c r="A4" s="1087" t="s">
        <v>68</v>
      </c>
      <c r="B4" s="1088"/>
      <c r="C4" s="630"/>
      <c r="D4" s="294"/>
      <c r="E4" s="630"/>
      <c r="H4" s="629"/>
    </row>
    <row r="5" spans="1:10" ht="15" customHeight="1" x14ac:dyDescent="0.25">
      <c r="B5" s="509"/>
    </row>
    <row r="6" spans="1:10" ht="15" customHeight="1" thickBot="1" x14ac:dyDescent="0.3">
      <c r="I6" s="631" t="s">
        <v>0</v>
      </c>
    </row>
    <row r="7" spans="1:10" ht="20.100000000000001" customHeight="1" x14ac:dyDescent="0.25">
      <c r="A7" s="1089" t="s">
        <v>1</v>
      </c>
      <c r="B7" s="1085" t="s">
        <v>1</v>
      </c>
      <c r="C7" s="1060" t="s">
        <v>402</v>
      </c>
      <c r="D7" s="1061"/>
      <c r="E7" s="1060" t="s">
        <v>450</v>
      </c>
      <c r="F7" s="1064"/>
      <c r="G7" s="1061"/>
      <c r="H7" s="1065" t="s">
        <v>507</v>
      </c>
      <c r="I7" s="1077" t="s">
        <v>508</v>
      </c>
    </row>
    <row r="8" spans="1:10" ht="35.1" customHeight="1" thickBot="1" x14ac:dyDescent="0.3">
      <c r="A8" s="1090"/>
      <c r="B8" s="1086"/>
      <c r="C8" s="236" t="s">
        <v>103</v>
      </c>
      <c r="D8" s="835" t="s">
        <v>519</v>
      </c>
      <c r="E8" s="236" t="s">
        <v>103</v>
      </c>
      <c r="F8" s="237" t="s">
        <v>556</v>
      </c>
      <c r="G8" s="238" t="s">
        <v>566</v>
      </c>
      <c r="H8" s="1066"/>
      <c r="I8" s="1078"/>
    </row>
    <row r="9" spans="1:10" ht="20.25" customHeight="1" x14ac:dyDescent="0.25">
      <c r="A9" s="280" t="s">
        <v>18</v>
      </c>
      <c r="B9" s="281" t="s">
        <v>279</v>
      </c>
      <c r="C9" s="282">
        <v>11000</v>
      </c>
      <c r="D9" s="283">
        <v>21943.599999999999</v>
      </c>
      <c r="E9" s="928">
        <v>15000</v>
      </c>
      <c r="F9" s="926">
        <v>18820</v>
      </c>
      <c r="G9" s="283">
        <v>14757.61</v>
      </c>
      <c r="H9" s="885">
        <v>18000</v>
      </c>
      <c r="I9" s="284">
        <f t="shared" ref="I9:I21" si="0">H9/E9*100</f>
        <v>120</v>
      </c>
      <c r="J9" s="293"/>
    </row>
    <row r="10" spans="1:10" ht="20.25" customHeight="1" x14ac:dyDescent="0.25">
      <c r="A10" s="280" t="s">
        <v>216</v>
      </c>
      <c r="B10" s="281" t="s">
        <v>271</v>
      </c>
      <c r="C10" s="282">
        <v>75000</v>
      </c>
      <c r="D10" s="283">
        <v>36932.050000000003</v>
      </c>
      <c r="E10" s="282">
        <v>75000</v>
      </c>
      <c r="F10" s="926">
        <v>104288.63</v>
      </c>
      <c r="G10" s="283">
        <v>7533.23</v>
      </c>
      <c r="H10" s="885">
        <v>100000</v>
      </c>
      <c r="I10" s="284">
        <f t="shared" si="0"/>
        <v>133.33333333333331</v>
      </c>
      <c r="J10" s="293"/>
    </row>
    <row r="11" spans="1:10" ht="20.25" customHeight="1" x14ac:dyDescent="0.25">
      <c r="A11" s="280" t="s">
        <v>259</v>
      </c>
      <c r="B11" s="281" t="s">
        <v>218</v>
      </c>
      <c r="C11" s="282">
        <v>47000</v>
      </c>
      <c r="D11" s="283">
        <v>56917.599999999999</v>
      </c>
      <c r="E11" s="282">
        <v>47000</v>
      </c>
      <c r="F11" s="926">
        <v>59320</v>
      </c>
      <c r="G11" s="283">
        <v>47869.71</v>
      </c>
      <c r="H11" s="885">
        <v>59300</v>
      </c>
      <c r="I11" s="284">
        <f t="shared" si="0"/>
        <v>126.17021276595746</v>
      </c>
      <c r="J11" s="293"/>
    </row>
    <row r="12" spans="1:10" ht="20.25" customHeight="1" x14ac:dyDescent="0.25">
      <c r="A12" s="280" t="s">
        <v>20</v>
      </c>
      <c r="B12" s="281" t="s">
        <v>21</v>
      </c>
      <c r="C12" s="282">
        <v>72000</v>
      </c>
      <c r="D12" s="283">
        <v>64970.14</v>
      </c>
      <c r="E12" s="282">
        <v>72000</v>
      </c>
      <c r="F12" s="926">
        <v>100214.75</v>
      </c>
      <c r="G12" s="283">
        <v>40171.22</v>
      </c>
      <c r="H12" s="885">
        <v>72000</v>
      </c>
      <c r="I12" s="284">
        <f t="shared" si="0"/>
        <v>100</v>
      </c>
      <c r="J12" s="293"/>
    </row>
    <row r="13" spans="1:10" ht="20.25" customHeight="1" x14ac:dyDescent="0.25">
      <c r="A13" s="280" t="s">
        <v>20</v>
      </c>
      <c r="B13" s="281" t="s">
        <v>288</v>
      </c>
      <c r="C13" s="282">
        <v>23500</v>
      </c>
      <c r="D13" s="283">
        <v>32991.35</v>
      </c>
      <c r="E13" s="282">
        <v>23500</v>
      </c>
      <c r="F13" s="926">
        <v>24371</v>
      </c>
      <c r="G13" s="283">
        <v>12270</v>
      </c>
      <c r="H13" s="885">
        <v>45700</v>
      </c>
      <c r="I13" s="284">
        <f t="shared" si="0"/>
        <v>194.46808510638297</v>
      </c>
      <c r="J13" s="293"/>
    </row>
    <row r="14" spans="1:10" ht="20.25" customHeight="1" x14ac:dyDescent="0.25">
      <c r="A14" s="280" t="s">
        <v>67</v>
      </c>
      <c r="B14" s="281" t="s">
        <v>280</v>
      </c>
      <c r="C14" s="282">
        <v>10000</v>
      </c>
      <c r="D14" s="283">
        <v>7701.65</v>
      </c>
      <c r="E14" s="282">
        <v>10000</v>
      </c>
      <c r="F14" s="926">
        <v>10000</v>
      </c>
      <c r="G14" s="283">
        <v>9517.93</v>
      </c>
      <c r="H14" s="885">
        <v>10000</v>
      </c>
      <c r="I14" s="284">
        <f t="shared" si="0"/>
        <v>100</v>
      </c>
      <c r="J14" s="293"/>
    </row>
    <row r="15" spans="1:10" ht="20.25" customHeight="1" x14ac:dyDescent="0.25">
      <c r="A15" s="280" t="s">
        <v>88</v>
      </c>
      <c r="B15" s="281" t="s">
        <v>330</v>
      </c>
      <c r="C15" s="282">
        <v>54000</v>
      </c>
      <c r="D15" s="283">
        <v>38616</v>
      </c>
      <c r="E15" s="282">
        <v>65000</v>
      </c>
      <c r="F15" s="926">
        <v>203187.14</v>
      </c>
      <c r="G15" s="283">
        <v>22133.64</v>
      </c>
      <c r="H15" s="885">
        <v>65000</v>
      </c>
      <c r="I15" s="284">
        <f t="shared" si="0"/>
        <v>100</v>
      </c>
      <c r="J15" s="293"/>
    </row>
    <row r="16" spans="1:10" ht="20.25" customHeight="1" x14ac:dyDescent="0.25">
      <c r="A16" s="280" t="s">
        <v>88</v>
      </c>
      <c r="B16" s="281" t="s">
        <v>77</v>
      </c>
      <c r="C16" s="282">
        <v>270000</v>
      </c>
      <c r="D16" s="283">
        <v>164359.18</v>
      </c>
      <c r="E16" s="282">
        <v>100000</v>
      </c>
      <c r="F16" s="926">
        <v>250461.97</v>
      </c>
      <c r="G16" s="283">
        <v>115834.24000000001</v>
      </c>
      <c r="H16" s="885">
        <v>120000</v>
      </c>
      <c r="I16" s="284">
        <f t="shared" si="0"/>
        <v>120</v>
      </c>
      <c r="J16" s="293"/>
    </row>
    <row r="17" spans="1:10" ht="20.25" customHeight="1" x14ac:dyDescent="0.25">
      <c r="A17" s="280" t="s">
        <v>88</v>
      </c>
      <c r="B17" s="285" t="s">
        <v>554</v>
      </c>
      <c r="C17" s="282">
        <v>11000</v>
      </c>
      <c r="D17" s="283">
        <v>14775.43</v>
      </c>
      <c r="E17" s="282">
        <v>11000</v>
      </c>
      <c r="F17" s="926">
        <v>74565.84</v>
      </c>
      <c r="G17" s="283">
        <v>9151.14</v>
      </c>
      <c r="H17" s="885">
        <v>20000</v>
      </c>
      <c r="I17" s="284">
        <f t="shared" si="0"/>
        <v>181.81818181818181</v>
      </c>
      <c r="J17" s="293"/>
    </row>
    <row r="18" spans="1:10" ht="20.25" customHeight="1" x14ac:dyDescent="0.25">
      <c r="A18" s="280" t="s">
        <v>88</v>
      </c>
      <c r="B18" s="285" t="s">
        <v>207</v>
      </c>
      <c r="C18" s="282">
        <v>0</v>
      </c>
      <c r="D18" s="283">
        <v>12000</v>
      </c>
      <c r="E18" s="282">
        <v>12000</v>
      </c>
      <c r="F18" s="926">
        <v>32000</v>
      </c>
      <c r="G18" s="283">
        <v>16000</v>
      </c>
      <c r="H18" s="885">
        <v>0</v>
      </c>
      <c r="I18" s="284">
        <f t="shared" si="0"/>
        <v>0</v>
      </c>
      <c r="J18" s="293"/>
    </row>
    <row r="19" spans="1:10" ht="20.25" customHeight="1" x14ac:dyDescent="0.25">
      <c r="A19" s="280" t="s">
        <v>88</v>
      </c>
      <c r="B19" s="285" t="s">
        <v>260</v>
      </c>
      <c r="C19" s="282">
        <v>0</v>
      </c>
      <c r="D19" s="283">
        <v>600</v>
      </c>
      <c r="E19" s="282">
        <v>0</v>
      </c>
      <c r="F19" s="926">
        <v>4150.68</v>
      </c>
      <c r="G19" s="283">
        <v>0</v>
      </c>
      <c r="H19" s="885">
        <v>0</v>
      </c>
      <c r="I19" s="284" t="s">
        <v>58</v>
      </c>
      <c r="J19" s="293"/>
    </row>
    <row r="20" spans="1:10" ht="20.25" customHeight="1" x14ac:dyDescent="0.25">
      <c r="A20" s="280" t="s">
        <v>88</v>
      </c>
      <c r="B20" s="285" t="s">
        <v>261</v>
      </c>
      <c r="C20" s="282">
        <v>400</v>
      </c>
      <c r="D20" s="283">
        <v>750</v>
      </c>
      <c r="E20" s="282">
        <v>400</v>
      </c>
      <c r="F20" s="926">
        <v>400</v>
      </c>
      <c r="G20" s="283">
        <v>0</v>
      </c>
      <c r="H20" s="885">
        <v>0</v>
      </c>
      <c r="I20" s="284">
        <f t="shared" si="0"/>
        <v>0</v>
      </c>
      <c r="J20" s="293"/>
    </row>
    <row r="21" spans="1:10" ht="20.25" customHeight="1" x14ac:dyDescent="0.25">
      <c r="A21" s="280" t="s">
        <v>22</v>
      </c>
      <c r="B21" s="281" t="s">
        <v>23</v>
      </c>
      <c r="C21" s="282">
        <v>26500</v>
      </c>
      <c r="D21" s="283">
        <v>36689.19</v>
      </c>
      <c r="E21" s="282">
        <v>26500</v>
      </c>
      <c r="F21" s="926">
        <v>42747.97</v>
      </c>
      <c r="G21" s="283">
        <v>11146</v>
      </c>
      <c r="H21" s="885">
        <v>33000</v>
      </c>
      <c r="I21" s="284">
        <f t="shared" si="0"/>
        <v>124.52830188679245</v>
      </c>
      <c r="J21" s="293"/>
    </row>
    <row r="22" spans="1:10" ht="20.25" customHeight="1" x14ac:dyDescent="0.25">
      <c r="A22" s="280" t="s">
        <v>22</v>
      </c>
      <c r="B22" s="281" t="s">
        <v>331</v>
      </c>
      <c r="C22" s="282">
        <v>121000</v>
      </c>
      <c r="D22" s="283">
        <v>172999.94</v>
      </c>
      <c r="E22" s="282">
        <v>121000</v>
      </c>
      <c r="F22" s="926">
        <v>179790.5</v>
      </c>
      <c r="G22" s="283">
        <v>17672.349999999999</v>
      </c>
      <c r="H22" s="885">
        <v>136000</v>
      </c>
      <c r="I22" s="284">
        <f>H22/E22*100</f>
        <v>112.39669421487604</v>
      </c>
      <c r="J22" s="293"/>
    </row>
    <row r="23" spans="1:10" ht="20.25" customHeight="1" x14ac:dyDescent="0.25">
      <c r="A23" s="280" t="s">
        <v>24</v>
      </c>
      <c r="B23" s="281" t="s">
        <v>397</v>
      </c>
      <c r="C23" s="282">
        <v>85000</v>
      </c>
      <c r="D23" s="283">
        <v>85000</v>
      </c>
      <c r="E23" s="282">
        <v>85000</v>
      </c>
      <c r="F23" s="926">
        <v>85000</v>
      </c>
      <c r="G23" s="283">
        <v>82214</v>
      </c>
      <c r="H23" s="885">
        <v>150000</v>
      </c>
      <c r="I23" s="284">
        <f t="shared" ref="I23:I26" si="1">H23/E23*100</f>
        <v>176.47058823529412</v>
      </c>
      <c r="J23" s="293"/>
    </row>
    <row r="24" spans="1:10" ht="20.25" customHeight="1" x14ac:dyDescent="0.25">
      <c r="A24" s="280" t="s">
        <v>212</v>
      </c>
      <c r="B24" s="281" t="s">
        <v>220</v>
      </c>
      <c r="C24" s="282">
        <v>15000</v>
      </c>
      <c r="D24" s="283">
        <v>15000</v>
      </c>
      <c r="E24" s="282">
        <v>23000</v>
      </c>
      <c r="F24" s="926">
        <v>23000</v>
      </c>
      <c r="G24" s="283">
        <v>20507.45</v>
      </c>
      <c r="H24" s="885">
        <v>32000</v>
      </c>
      <c r="I24" s="284">
        <f t="shared" si="1"/>
        <v>139.13043478260869</v>
      </c>
      <c r="J24" s="293"/>
    </row>
    <row r="25" spans="1:10" ht="20.25" customHeight="1" x14ac:dyDescent="0.25">
      <c r="A25" s="280" t="s">
        <v>212</v>
      </c>
      <c r="B25" s="281" t="s">
        <v>19</v>
      </c>
      <c r="C25" s="282">
        <v>81000</v>
      </c>
      <c r="D25" s="283">
        <v>76674.759999999995</v>
      </c>
      <c r="E25" s="282">
        <v>82000</v>
      </c>
      <c r="F25" s="926">
        <v>89622.63</v>
      </c>
      <c r="G25" s="283">
        <v>25251.67</v>
      </c>
      <c r="H25" s="885">
        <v>82000</v>
      </c>
      <c r="I25" s="284">
        <f t="shared" si="1"/>
        <v>100</v>
      </c>
      <c r="J25" s="293"/>
    </row>
    <row r="26" spans="1:10" ht="20.25" customHeight="1" thickBot="1" x14ac:dyDescent="0.3">
      <c r="A26" s="286" t="s">
        <v>262</v>
      </c>
      <c r="B26" s="287" t="s">
        <v>263</v>
      </c>
      <c r="C26" s="288">
        <v>22000</v>
      </c>
      <c r="D26" s="289">
        <v>0</v>
      </c>
      <c r="E26" s="929">
        <v>22000</v>
      </c>
      <c r="F26" s="927">
        <v>47000</v>
      </c>
      <c r="G26" s="289">
        <v>3252.33</v>
      </c>
      <c r="H26" s="886">
        <v>22000</v>
      </c>
      <c r="I26" s="284">
        <f t="shared" si="1"/>
        <v>100</v>
      </c>
      <c r="J26" s="293"/>
    </row>
    <row r="27" spans="1:10" s="99" customFormat="1" ht="30" customHeight="1" thickBot="1" x14ac:dyDescent="0.3">
      <c r="A27" s="290" t="s">
        <v>56</v>
      </c>
      <c r="B27" s="291"/>
      <c r="C27" s="243">
        <f t="shared" ref="C27:H27" si="2">SUM(C9:C26)</f>
        <v>924400</v>
      </c>
      <c r="D27" s="244">
        <f t="shared" si="2"/>
        <v>838920.89</v>
      </c>
      <c r="E27" s="243">
        <f t="shared" si="2"/>
        <v>790400</v>
      </c>
      <c r="F27" s="246">
        <f t="shared" si="2"/>
        <v>1348941.1099999999</v>
      </c>
      <c r="G27" s="244">
        <f t="shared" si="2"/>
        <v>455282.52</v>
      </c>
      <c r="H27" s="199">
        <f t="shared" si="2"/>
        <v>965000</v>
      </c>
      <c r="I27" s="292">
        <f>H27/E27*100</f>
        <v>122.09008097165992</v>
      </c>
      <c r="J27" s="515"/>
    </row>
    <row r="28" spans="1:10" x14ac:dyDescent="0.25">
      <c r="H28" s="293"/>
    </row>
    <row r="29" spans="1:10" x14ac:dyDescent="0.25">
      <c r="C29" s="294"/>
      <c r="E29" s="294"/>
      <c r="H29" s="293"/>
    </row>
    <row r="31" spans="1:10" x14ac:dyDescent="0.25">
      <c r="H31" s="293"/>
    </row>
    <row r="32" spans="1:10" x14ac:dyDescent="0.25">
      <c r="C32" s="294"/>
      <c r="E32" s="294"/>
    </row>
    <row r="437" spans="1:1" x14ac:dyDescent="0.25">
      <c r="A437" s="334"/>
    </row>
  </sheetData>
  <mergeCells count="7">
    <mergeCell ref="B7:B8"/>
    <mergeCell ref="C7:D7"/>
    <mergeCell ref="I7:I8"/>
    <mergeCell ref="A4:B4"/>
    <mergeCell ref="A7:A8"/>
    <mergeCell ref="E7:G7"/>
    <mergeCell ref="H7:H8"/>
  </mergeCells>
  <phoneticPr fontId="9" type="noConversion"/>
  <printOptions horizontalCentered="1"/>
  <pageMargins left="0.19685039370078741" right="0" top="0.78740157480314965" bottom="0.59055118110236227" header="0.59055118110236227" footer="0.59055118110236227"/>
  <pageSetup paperSize="9" scale="56" orientation="portrait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82"/>
  <sheetViews>
    <sheetView zoomScaleNormal="100" workbookViewId="0"/>
  </sheetViews>
  <sheetFormatPr defaultColWidth="9.109375" defaultRowHeight="13.8" x14ac:dyDescent="0.25"/>
  <cols>
    <col min="1" max="1" width="42.88671875" style="70" customWidth="1"/>
    <col min="2" max="4" width="20.6640625" style="70" customWidth="1"/>
    <col min="5" max="5" width="20.33203125" style="70" customWidth="1"/>
    <col min="6" max="6" width="20.6640625" style="70" customWidth="1"/>
    <col min="7" max="7" width="20.6640625" style="293" customWidth="1"/>
    <col min="8" max="9" width="20.6640625" style="70" customWidth="1"/>
    <col min="10" max="11" width="14.5546875" style="70" customWidth="1"/>
    <col min="12" max="12" width="10.6640625" style="70" bestFit="1" customWidth="1"/>
    <col min="13" max="13" width="11.6640625" style="70" bestFit="1" customWidth="1"/>
    <col min="14" max="16384" width="9.109375" style="70"/>
  </cols>
  <sheetData>
    <row r="1" spans="1:18" s="57" customFormat="1" ht="15" customHeight="1" x14ac:dyDescent="0.25">
      <c r="A1" s="1055" t="s">
        <v>574</v>
      </c>
      <c r="B1" s="331"/>
      <c r="C1" s="331"/>
      <c r="D1" s="331"/>
      <c r="E1" s="331"/>
      <c r="F1" s="331"/>
      <c r="G1" s="332"/>
    </row>
    <row r="2" spans="1:18" s="57" customFormat="1" ht="24" customHeight="1" x14ac:dyDescent="0.25">
      <c r="A2" s="331" t="s">
        <v>511</v>
      </c>
      <c r="B2" s="331"/>
      <c r="C2" s="331"/>
      <c r="D2" s="331"/>
      <c r="E2" s="331"/>
      <c r="F2" s="331"/>
      <c r="G2" s="332"/>
    </row>
    <row r="3" spans="1:18" ht="15" customHeight="1" x14ac:dyDescent="0.25"/>
    <row r="4" spans="1:18" ht="18" x14ac:dyDescent="0.25">
      <c r="A4" s="1107" t="s">
        <v>489</v>
      </c>
      <c r="B4" s="1107"/>
      <c r="C4" s="1107"/>
      <c r="D4" s="1107"/>
      <c r="E4" s="1107"/>
      <c r="F4" s="1107"/>
      <c r="G4" s="1107"/>
      <c r="H4" s="1107"/>
      <c r="I4" s="1107"/>
    </row>
    <row r="5" spans="1:18" ht="18" x14ac:dyDescent="0.25">
      <c r="A5" s="604"/>
      <c r="B5" s="604"/>
      <c r="C5" s="604"/>
      <c r="D5" s="604"/>
      <c r="E5" s="604"/>
      <c r="F5" s="604"/>
      <c r="G5" s="604"/>
      <c r="H5" s="604"/>
      <c r="I5" s="604"/>
    </row>
    <row r="6" spans="1:18" ht="15" customHeight="1" x14ac:dyDescent="0.25">
      <c r="A6" s="1111" t="s">
        <v>502</v>
      </c>
      <c r="B6" s="1111"/>
      <c r="C6" s="1111"/>
      <c r="D6" s="1111"/>
      <c r="E6" s="1111"/>
      <c r="F6" s="1111"/>
      <c r="G6" s="1111"/>
      <c r="H6" s="1111"/>
      <c r="I6" s="1111"/>
      <c r="J6" s="644"/>
      <c r="K6" s="644"/>
      <c r="L6" s="644"/>
      <c r="M6" s="644"/>
      <c r="N6" s="644"/>
      <c r="O6" s="644"/>
      <c r="P6" s="644"/>
      <c r="Q6" s="644"/>
      <c r="R6" s="644"/>
    </row>
    <row r="7" spans="1:18" ht="15" thickBot="1" x14ac:dyDescent="0.3">
      <c r="B7" s="510"/>
      <c r="C7" s="510"/>
      <c r="D7" s="510"/>
      <c r="E7" s="510"/>
      <c r="F7" s="510"/>
      <c r="G7" s="508"/>
      <c r="H7" s="508"/>
      <c r="I7" s="510" t="s">
        <v>0</v>
      </c>
      <c r="J7" s="644"/>
      <c r="K7" s="644"/>
      <c r="L7" s="644"/>
      <c r="M7" s="644"/>
      <c r="N7" s="644"/>
      <c r="O7" s="644"/>
      <c r="P7" s="644"/>
      <c r="Q7" s="644"/>
      <c r="R7" s="644"/>
    </row>
    <row r="8" spans="1:18" ht="36.75" customHeight="1" x14ac:dyDescent="0.25">
      <c r="A8" s="1108" t="s">
        <v>328</v>
      </c>
      <c r="B8" s="1112" t="s">
        <v>468</v>
      </c>
      <c r="C8" s="1113"/>
      <c r="D8" s="1114"/>
      <c r="E8" s="1115" t="s">
        <v>472</v>
      </c>
      <c r="F8" s="1116"/>
      <c r="G8" s="1117"/>
      <c r="H8" s="1098" t="s">
        <v>487</v>
      </c>
      <c r="I8" s="1095" t="s">
        <v>405</v>
      </c>
      <c r="L8" s="644"/>
      <c r="M8" s="644"/>
      <c r="N8" s="644"/>
      <c r="O8" s="644"/>
      <c r="P8" s="644"/>
      <c r="Q8" s="644"/>
      <c r="R8" s="644"/>
    </row>
    <row r="9" spans="1:18" ht="30" customHeight="1" x14ac:dyDescent="0.25">
      <c r="A9" s="1109"/>
      <c r="B9" s="1091" t="s">
        <v>514</v>
      </c>
      <c r="C9" s="1093" t="s">
        <v>513</v>
      </c>
      <c r="D9" s="1094"/>
      <c r="E9" s="1101" t="s">
        <v>469</v>
      </c>
      <c r="F9" s="1103" t="s">
        <v>494</v>
      </c>
      <c r="G9" s="1105" t="s">
        <v>486</v>
      </c>
      <c r="H9" s="1099"/>
      <c r="I9" s="1096"/>
      <c r="L9" s="644"/>
      <c r="M9" s="644"/>
      <c r="N9" s="644"/>
      <c r="O9" s="644"/>
      <c r="P9" s="644"/>
      <c r="Q9" s="644"/>
      <c r="R9" s="644"/>
    </row>
    <row r="10" spans="1:18" ht="30" customHeight="1" thickBot="1" x14ac:dyDescent="0.3">
      <c r="A10" s="1110"/>
      <c r="B10" s="1092"/>
      <c r="C10" s="869" t="s">
        <v>491</v>
      </c>
      <c r="D10" s="870" t="s">
        <v>492</v>
      </c>
      <c r="E10" s="1102"/>
      <c r="F10" s="1104"/>
      <c r="G10" s="1106"/>
      <c r="H10" s="1100"/>
      <c r="I10" s="1097"/>
      <c r="L10" s="644"/>
      <c r="M10" s="644"/>
      <c r="N10" s="644"/>
      <c r="O10" s="644"/>
      <c r="P10" s="644"/>
      <c r="Q10" s="644"/>
      <c r="R10" s="644"/>
    </row>
    <row r="11" spans="1:18" ht="14.4" x14ac:dyDescent="0.25">
      <c r="A11" s="880" t="s">
        <v>28</v>
      </c>
      <c r="B11" s="985">
        <v>0</v>
      </c>
      <c r="C11" s="986">
        <v>0</v>
      </c>
      <c r="D11" s="987">
        <v>0</v>
      </c>
      <c r="E11" s="988">
        <f>SUM(B11:D11)</f>
        <v>0</v>
      </c>
      <c r="F11" s="989">
        <v>0</v>
      </c>
      <c r="G11" s="990">
        <v>0</v>
      </c>
      <c r="H11" s="991">
        <f t="shared" ref="H11:H24" si="0">SUM(E11:G11)</f>
        <v>0</v>
      </c>
      <c r="I11" s="992">
        <v>0</v>
      </c>
      <c r="J11" s="294"/>
      <c r="K11" s="294"/>
      <c r="L11" s="645"/>
      <c r="M11" s="644"/>
      <c r="N11" s="644"/>
      <c r="O11" s="644"/>
      <c r="P11" s="644"/>
      <c r="Q11" s="644"/>
      <c r="R11" s="644"/>
    </row>
    <row r="12" spans="1:18" ht="14.4" x14ac:dyDescent="0.25">
      <c r="A12" s="566" t="s">
        <v>29</v>
      </c>
      <c r="B12" s="993">
        <v>0</v>
      </c>
      <c r="C12" s="994">
        <v>0</v>
      </c>
      <c r="D12" s="995">
        <v>0</v>
      </c>
      <c r="E12" s="996">
        <f t="shared" ref="E12:E24" si="1">SUM(B12:D12)</f>
        <v>0</v>
      </c>
      <c r="F12" s="997">
        <v>0</v>
      </c>
      <c r="G12" s="998">
        <v>0</v>
      </c>
      <c r="H12" s="999">
        <f t="shared" si="0"/>
        <v>0</v>
      </c>
      <c r="I12" s="1000">
        <v>0</v>
      </c>
      <c r="J12" s="294"/>
      <c r="K12" s="294"/>
      <c r="L12" s="645"/>
      <c r="M12" s="644"/>
      <c r="N12" s="644"/>
      <c r="O12" s="644"/>
      <c r="P12" s="644"/>
      <c r="Q12" s="644"/>
      <c r="R12" s="644"/>
    </row>
    <row r="13" spans="1:18" ht="14.4" x14ac:dyDescent="0.25">
      <c r="A13" s="567" t="s">
        <v>91</v>
      </c>
      <c r="B13" s="1001">
        <v>0</v>
      </c>
      <c r="C13" s="1002">
        <v>4600</v>
      </c>
      <c r="D13" s="1003">
        <v>0</v>
      </c>
      <c r="E13" s="996">
        <f t="shared" si="1"/>
        <v>4600</v>
      </c>
      <c r="F13" s="1004">
        <v>0</v>
      </c>
      <c r="G13" s="1005">
        <v>0</v>
      </c>
      <c r="H13" s="999">
        <f t="shared" si="0"/>
        <v>4600</v>
      </c>
      <c r="I13" s="1006">
        <v>0</v>
      </c>
      <c r="J13" s="294"/>
      <c r="K13" s="294"/>
      <c r="L13" s="645"/>
      <c r="M13" s="644"/>
      <c r="N13" s="644"/>
      <c r="O13" s="644"/>
      <c r="P13" s="644"/>
      <c r="Q13" s="644"/>
      <c r="R13" s="644"/>
    </row>
    <row r="14" spans="1:18" ht="14.4" x14ac:dyDescent="0.25">
      <c r="A14" s="567" t="s">
        <v>30</v>
      </c>
      <c r="B14" s="1001">
        <v>0</v>
      </c>
      <c r="C14" s="1002">
        <v>0</v>
      </c>
      <c r="D14" s="1003">
        <v>0</v>
      </c>
      <c r="E14" s="996">
        <f t="shared" si="1"/>
        <v>0</v>
      </c>
      <c r="F14" s="1004">
        <v>0</v>
      </c>
      <c r="G14" s="1005">
        <v>0</v>
      </c>
      <c r="H14" s="999">
        <f t="shared" si="0"/>
        <v>0</v>
      </c>
      <c r="I14" s="1006">
        <v>0</v>
      </c>
      <c r="J14" s="294"/>
      <c r="K14" s="294"/>
      <c r="L14" s="645"/>
      <c r="M14" s="644"/>
      <c r="N14" s="644"/>
      <c r="O14" s="644"/>
      <c r="P14" s="644"/>
      <c r="Q14" s="644"/>
      <c r="R14" s="644"/>
    </row>
    <row r="15" spans="1:18" ht="14.4" x14ac:dyDescent="0.25">
      <c r="A15" s="567" t="s">
        <v>31</v>
      </c>
      <c r="B15" s="1001">
        <v>0</v>
      </c>
      <c r="C15" s="1002">
        <v>0</v>
      </c>
      <c r="D15" s="1003">
        <v>0</v>
      </c>
      <c r="E15" s="996">
        <f t="shared" si="1"/>
        <v>0</v>
      </c>
      <c r="F15" s="1004">
        <v>0</v>
      </c>
      <c r="G15" s="1005">
        <v>0</v>
      </c>
      <c r="H15" s="999">
        <f t="shared" si="0"/>
        <v>0</v>
      </c>
      <c r="I15" s="1006">
        <v>0</v>
      </c>
      <c r="J15" s="294"/>
      <c r="K15" s="294"/>
      <c r="L15" s="645"/>
      <c r="M15" s="644"/>
      <c r="N15" s="644"/>
      <c r="O15" s="644"/>
      <c r="P15" s="644"/>
      <c r="Q15" s="644"/>
      <c r="R15" s="644"/>
    </row>
    <row r="16" spans="1:18" ht="14.4" x14ac:dyDescent="0.25">
      <c r="A16" s="567" t="s">
        <v>32</v>
      </c>
      <c r="B16" s="1001">
        <v>1800</v>
      </c>
      <c r="C16" s="1002">
        <v>150</v>
      </c>
      <c r="D16" s="1003">
        <v>2600</v>
      </c>
      <c r="E16" s="996">
        <f t="shared" si="1"/>
        <v>4550</v>
      </c>
      <c r="F16" s="1004">
        <v>0</v>
      </c>
      <c r="G16" s="1005">
        <v>0</v>
      </c>
      <c r="H16" s="999">
        <f t="shared" si="0"/>
        <v>4550</v>
      </c>
      <c r="I16" s="1006">
        <v>1600</v>
      </c>
      <c r="J16" s="294"/>
      <c r="K16" s="294"/>
      <c r="L16" s="645"/>
      <c r="M16" s="644"/>
      <c r="N16" s="644"/>
      <c r="O16" s="644"/>
      <c r="P16" s="644"/>
      <c r="Q16" s="644"/>
      <c r="R16" s="644"/>
    </row>
    <row r="17" spans="1:18" ht="14.4" x14ac:dyDescent="0.25">
      <c r="A17" s="567" t="s">
        <v>33</v>
      </c>
      <c r="B17" s="1001">
        <v>553306</v>
      </c>
      <c r="C17" s="1002">
        <v>150000</v>
      </c>
      <c r="D17" s="1003">
        <v>200000</v>
      </c>
      <c r="E17" s="996">
        <f t="shared" si="1"/>
        <v>903306</v>
      </c>
      <c r="F17" s="1004">
        <v>0</v>
      </c>
      <c r="G17" s="1005">
        <v>0</v>
      </c>
      <c r="H17" s="999">
        <f t="shared" si="0"/>
        <v>903306</v>
      </c>
      <c r="I17" s="1006">
        <v>3000</v>
      </c>
      <c r="J17" s="294"/>
      <c r="K17" s="294"/>
      <c r="L17" s="645"/>
      <c r="M17" s="644"/>
      <c r="N17" s="644"/>
      <c r="O17" s="644"/>
      <c r="P17" s="644"/>
      <c r="Q17" s="644"/>
      <c r="R17" s="644"/>
    </row>
    <row r="18" spans="1:18" ht="14.4" x14ac:dyDescent="0.25">
      <c r="A18" s="567" t="s">
        <v>34</v>
      </c>
      <c r="B18" s="1001">
        <v>0</v>
      </c>
      <c r="C18" s="1002">
        <v>0</v>
      </c>
      <c r="D18" s="1003">
        <v>500</v>
      </c>
      <c r="E18" s="996">
        <f t="shared" si="1"/>
        <v>500</v>
      </c>
      <c r="F18" s="1004">
        <v>0</v>
      </c>
      <c r="G18" s="1005">
        <v>0</v>
      </c>
      <c r="H18" s="999">
        <f t="shared" si="0"/>
        <v>500</v>
      </c>
      <c r="I18" s="1006">
        <v>500</v>
      </c>
      <c r="J18" s="294"/>
      <c r="K18" s="294"/>
      <c r="L18" s="645"/>
      <c r="M18" s="644"/>
      <c r="N18" s="644"/>
      <c r="O18" s="644"/>
      <c r="P18" s="644"/>
      <c r="Q18" s="644"/>
      <c r="R18" s="644"/>
    </row>
    <row r="19" spans="1:18" ht="14.4" x14ac:dyDescent="0.25">
      <c r="A19" s="567" t="s">
        <v>35</v>
      </c>
      <c r="B19" s="1001">
        <v>12725</v>
      </c>
      <c r="C19" s="1002">
        <v>12275</v>
      </c>
      <c r="D19" s="1003">
        <v>0</v>
      </c>
      <c r="E19" s="996">
        <f t="shared" si="1"/>
        <v>25000</v>
      </c>
      <c r="F19" s="1004">
        <v>0</v>
      </c>
      <c r="G19" s="1005">
        <v>0</v>
      </c>
      <c r="H19" s="999">
        <f t="shared" si="0"/>
        <v>25000</v>
      </c>
      <c r="I19" s="1006">
        <v>0</v>
      </c>
      <c r="J19" s="294"/>
      <c r="K19" s="294"/>
      <c r="L19" s="645"/>
      <c r="M19" s="644"/>
      <c r="N19" s="644"/>
      <c r="O19" s="644"/>
      <c r="P19" s="644"/>
      <c r="Q19" s="644"/>
      <c r="R19" s="644"/>
    </row>
    <row r="20" spans="1:18" ht="14.4" x14ac:dyDescent="0.25">
      <c r="A20" s="567" t="s">
        <v>37</v>
      </c>
      <c r="B20" s="1001">
        <v>12000</v>
      </c>
      <c r="C20" s="1002">
        <v>15000</v>
      </c>
      <c r="D20" s="1003">
        <v>90000</v>
      </c>
      <c r="E20" s="996">
        <f t="shared" si="1"/>
        <v>117000</v>
      </c>
      <c r="F20" s="1004">
        <v>0</v>
      </c>
      <c r="G20" s="1005">
        <v>0</v>
      </c>
      <c r="H20" s="999">
        <f t="shared" si="0"/>
        <v>117000</v>
      </c>
      <c r="I20" s="1006">
        <v>0</v>
      </c>
      <c r="J20" s="294"/>
      <c r="K20" s="294"/>
      <c r="L20" s="645"/>
      <c r="M20" s="644"/>
      <c r="N20" s="644"/>
      <c r="O20" s="644"/>
      <c r="P20" s="644"/>
      <c r="Q20" s="644"/>
      <c r="R20" s="644"/>
    </row>
    <row r="21" spans="1:18" ht="14.4" x14ac:dyDescent="0.25">
      <c r="A21" s="567" t="s">
        <v>81</v>
      </c>
      <c r="B21" s="1001">
        <v>0</v>
      </c>
      <c r="C21" s="1002">
        <v>0</v>
      </c>
      <c r="D21" s="1003">
        <v>0</v>
      </c>
      <c r="E21" s="996">
        <f t="shared" si="1"/>
        <v>0</v>
      </c>
      <c r="F21" s="1004">
        <v>0</v>
      </c>
      <c r="G21" s="1005">
        <v>0</v>
      </c>
      <c r="H21" s="999">
        <f t="shared" si="0"/>
        <v>0</v>
      </c>
      <c r="I21" s="1006">
        <v>0</v>
      </c>
      <c r="J21" s="294"/>
      <c r="K21" s="294"/>
      <c r="L21" s="645"/>
      <c r="M21" s="644"/>
      <c r="N21" s="644"/>
      <c r="O21" s="644"/>
      <c r="P21" s="644"/>
      <c r="Q21" s="644"/>
      <c r="R21" s="644"/>
    </row>
    <row r="22" spans="1:18" ht="14.4" x14ac:dyDescent="0.25">
      <c r="A22" s="567" t="s">
        <v>257</v>
      </c>
      <c r="B22" s="231">
        <v>0</v>
      </c>
      <c r="C22" s="1007">
        <v>0</v>
      </c>
      <c r="D22" s="1008">
        <v>0</v>
      </c>
      <c r="E22" s="996">
        <f t="shared" si="1"/>
        <v>0</v>
      </c>
      <c r="F22" s="1004">
        <v>0</v>
      </c>
      <c r="G22" s="1005">
        <v>0</v>
      </c>
      <c r="H22" s="999">
        <f t="shared" si="0"/>
        <v>0</v>
      </c>
      <c r="I22" s="1006">
        <v>0</v>
      </c>
      <c r="J22" s="294"/>
      <c r="K22" s="294"/>
      <c r="L22" s="645"/>
      <c r="M22" s="644"/>
      <c r="N22" s="644"/>
      <c r="O22" s="644"/>
      <c r="P22" s="644"/>
      <c r="Q22" s="644"/>
      <c r="R22" s="644"/>
    </row>
    <row r="23" spans="1:18" ht="14.4" x14ac:dyDescent="0.25">
      <c r="A23" s="947" t="s">
        <v>258</v>
      </c>
      <c r="B23" s="231">
        <v>30000</v>
      </c>
      <c r="C23" s="1007">
        <v>0</v>
      </c>
      <c r="D23" s="1008">
        <v>120000</v>
      </c>
      <c r="E23" s="996">
        <f t="shared" si="1"/>
        <v>150000</v>
      </c>
      <c r="F23" s="1004">
        <v>0</v>
      </c>
      <c r="G23" s="1005">
        <v>0</v>
      </c>
      <c r="H23" s="1009">
        <f t="shared" si="0"/>
        <v>150000</v>
      </c>
      <c r="I23" s="1006">
        <v>95000</v>
      </c>
      <c r="J23" s="294"/>
      <c r="K23" s="294"/>
      <c r="L23" s="645"/>
      <c r="M23" s="644"/>
      <c r="N23" s="644"/>
      <c r="O23" s="644"/>
      <c r="P23" s="644"/>
      <c r="Q23" s="644"/>
      <c r="R23" s="644"/>
    </row>
    <row r="24" spans="1:18" ht="34.5" customHeight="1" thickBot="1" x14ac:dyDescent="0.3">
      <c r="A24" s="881" t="s">
        <v>276</v>
      </c>
      <c r="B24" s="231">
        <v>0</v>
      </c>
      <c r="C24" s="1007">
        <v>0</v>
      </c>
      <c r="D24" s="1008">
        <v>0</v>
      </c>
      <c r="E24" s="1010">
        <f t="shared" si="1"/>
        <v>0</v>
      </c>
      <c r="F24" s="1004">
        <v>0</v>
      </c>
      <c r="G24" s="1005">
        <v>0</v>
      </c>
      <c r="H24" s="1011">
        <f t="shared" si="0"/>
        <v>0</v>
      </c>
      <c r="I24" s="1006">
        <v>0</v>
      </c>
      <c r="J24" s="294"/>
      <c r="K24" s="294"/>
      <c r="L24" s="645"/>
      <c r="M24" s="644"/>
      <c r="N24" s="644"/>
      <c r="O24" s="644"/>
      <c r="P24" s="644"/>
      <c r="Q24" s="644"/>
      <c r="R24" s="644"/>
    </row>
    <row r="25" spans="1:18" ht="15" thickBot="1" x14ac:dyDescent="0.3">
      <c r="A25" s="882" t="s">
        <v>277</v>
      </c>
      <c r="B25" s="1012">
        <f t="shared" ref="B25:I25" si="2">SUM(B11:B24)</f>
        <v>609831</v>
      </c>
      <c r="C25" s="1013">
        <f t="shared" si="2"/>
        <v>182025</v>
      </c>
      <c r="D25" s="1014">
        <f t="shared" si="2"/>
        <v>413100</v>
      </c>
      <c r="E25" s="1015">
        <f t="shared" si="2"/>
        <v>1204956</v>
      </c>
      <c r="F25" s="1015">
        <f t="shared" si="2"/>
        <v>0</v>
      </c>
      <c r="G25" s="1016">
        <f t="shared" si="2"/>
        <v>0</v>
      </c>
      <c r="H25" s="1017">
        <f t="shared" si="2"/>
        <v>1204956</v>
      </c>
      <c r="I25" s="1018">
        <f t="shared" si="2"/>
        <v>100100</v>
      </c>
      <c r="J25" s="511"/>
      <c r="K25" s="511"/>
      <c r="L25" s="645"/>
      <c r="M25" s="644"/>
      <c r="N25" s="644"/>
      <c r="O25" s="644"/>
      <c r="P25" s="644"/>
      <c r="Q25" s="644"/>
      <c r="R25" s="644"/>
    </row>
    <row r="26" spans="1:18" x14ac:dyDescent="0.25">
      <c r="A26" s="512"/>
      <c r="B26" s="639"/>
      <c r="C26" s="639"/>
      <c r="D26" s="639"/>
      <c r="E26" s="639"/>
      <c r="F26" s="639"/>
      <c r="G26" s="639"/>
      <c r="H26" s="639"/>
      <c r="I26" s="639"/>
      <c r="J26" s="646"/>
      <c r="K26" s="646"/>
      <c r="L26" s="644"/>
      <c r="M26" s="644"/>
      <c r="N26" s="644"/>
      <c r="O26" s="644"/>
      <c r="P26" s="644"/>
      <c r="Q26" s="644"/>
      <c r="R26" s="644"/>
    </row>
    <row r="27" spans="1:18" x14ac:dyDescent="0.25">
      <c r="A27" s="512"/>
      <c r="B27" s="639"/>
      <c r="C27" s="639"/>
      <c r="D27" s="639"/>
      <c r="E27" s="639"/>
      <c r="F27" s="639"/>
      <c r="G27" s="639"/>
      <c r="H27" s="639"/>
      <c r="I27" s="639"/>
      <c r="J27" s="644"/>
      <c r="K27" s="644"/>
      <c r="L27" s="644"/>
      <c r="M27" s="644"/>
      <c r="N27" s="644"/>
      <c r="O27" s="644"/>
      <c r="P27" s="644"/>
      <c r="Q27" s="644"/>
      <c r="R27" s="644"/>
    </row>
    <row r="28" spans="1:18" ht="36" customHeight="1" x14ac:dyDescent="0.25">
      <c r="A28" s="1118" t="s">
        <v>503</v>
      </c>
      <c r="B28" s="1118"/>
      <c r="C28" s="1118"/>
      <c r="D28" s="1118"/>
      <c r="E28" s="1118"/>
      <c r="F28" s="1118"/>
      <c r="G28" s="1118"/>
      <c r="H28" s="1118"/>
      <c r="I28" s="1118"/>
      <c r="J28" s="644"/>
      <c r="K28" s="644"/>
      <c r="L28" s="644"/>
      <c r="M28" s="644"/>
      <c r="N28" s="644"/>
      <c r="O28" s="644"/>
      <c r="P28" s="644"/>
      <c r="Q28" s="644"/>
      <c r="R28" s="644"/>
    </row>
    <row r="29" spans="1:18" ht="15" thickBot="1" x14ac:dyDescent="0.3">
      <c r="A29" s="293"/>
      <c r="B29" s="510"/>
      <c r="C29" s="510"/>
      <c r="D29" s="510"/>
      <c r="E29" s="510"/>
      <c r="F29" s="510"/>
      <c r="G29" s="508"/>
      <c r="H29" s="508"/>
      <c r="I29" s="510" t="s">
        <v>0</v>
      </c>
      <c r="J29" s="644"/>
      <c r="K29" s="644"/>
      <c r="L29" s="644"/>
      <c r="M29" s="644"/>
      <c r="N29" s="644"/>
      <c r="O29" s="644"/>
      <c r="P29" s="644"/>
      <c r="Q29" s="644"/>
      <c r="R29" s="644"/>
    </row>
    <row r="30" spans="1:18" ht="33.75" customHeight="1" x14ac:dyDescent="0.25">
      <c r="A30" s="1098" t="s">
        <v>328</v>
      </c>
      <c r="B30" s="1119" t="s">
        <v>468</v>
      </c>
      <c r="C30" s="1120"/>
      <c r="D30" s="1121"/>
      <c r="E30" s="1115" t="s">
        <v>472</v>
      </c>
      <c r="F30" s="1116"/>
      <c r="G30" s="1117"/>
      <c r="H30" s="1098" t="s">
        <v>487</v>
      </c>
      <c r="I30" s="1095" t="s">
        <v>405</v>
      </c>
      <c r="L30" s="644"/>
      <c r="M30" s="644"/>
      <c r="N30" s="644"/>
      <c r="O30" s="644"/>
      <c r="P30" s="644"/>
      <c r="Q30" s="644"/>
      <c r="R30" s="644"/>
    </row>
    <row r="31" spans="1:18" s="784" customFormat="1" ht="30" customHeight="1" x14ac:dyDescent="0.25">
      <c r="A31" s="1099"/>
      <c r="B31" s="1091" t="s">
        <v>514</v>
      </c>
      <c r="C31" s="1093" t="s">
        <v>513</v>
      </c>
      <c r="D31" s="1094"/>
      <c r="E31" s="1101" t="s">
        <v>469</v>
      </c>
      <c r="F31" s="1103" t="s">
        <v>494</v>
      </c>
      <c r="G31" s="1105" t="s">
        <v>486</v>
      </c>
      <c r="H31" s="1099"/>
      <c r="I31" s="1096"/>
      <c r="L31" s="871"/>
      <c r="M31" s="871"/>
      <c r="N31" s="871"/>
      <c r="O31" s="871"/>
      <c r="P31" s="871"/>
      <c r="Q31" s="871"/>
      <c r="R31" s="871"/>
    </row>
    <row r="32" spans="1:18" s="784" customFormat="1" ht="30" customHeight="1" thickBot="1" x14ac:dyDescent="0.3">
      <c r="A32" s="1100"/>
      <c r="B32" s="1092"/>
      <c r="C32" s="869" t="s">
        <v>491</v>
      </c>
      <c r="D32" s="870" t="s">
        <v>492</v>
      </c>
      <c r="E32" s="1102"/>
      <c r="F32" s="1104"/>
      <c r="G32" s="1106"/>
      <c r="H32" s="1100"/>
      <c r="I32" s="1097"/>
      <c r="L32" s="871"/>
      <c r="M32" s="871"/>
      <c r="N32" s="871"/>
      <c r="O32" s="871"/>
      <c r="P32" s="871"/>
      <c r="Q32" s="871"/>
      <c r="R32" s="871"/>
    </row>
    <row r="33" spans="1:18" ht="14.4" x14ac:dyDescent="0.25">
      <c r="A33" s="883" t="s">
        <v>28</v>
      </c>
      <c r="B33" s="985">
        <v>0</v>
      </c>
      <c r="C33" s="986">
        <v>0</v>
      </c>
      <c r="D33" s="987">
        <v>0</v>
      </c>
      <c r="E33" s="996">
        <f t="shared" ref="E33:E46" si="3">SUM(B33:D33)</f>
        <v>0</v>
      </c>
      <c r="F33" s="989">
        <v>0</v>
      </c>
      <c r="G33" s="990">
        <v>0</v>
      </c>
      <c r="H33" s="991">
        <f t="shared" ref="H33:H46" si="4">SUM(E33:G33)</f>
        <v>0</v>
      </c>
      <c r="I33" s="992">
        <v>0</v>
      </c>
      <c r="J33" s="294"/>
      <c r="K33" s="294"/>
      <c r="L33" s="294"/>
      <c r="M33" s="294"/>
      <c r="O33" s="644"/>
      <c r="P33" s="644"/>
      <c r="Q33" s="644"/>
      <c r="R33" s="644"/>
    </row>
    <row r="34" spans="1:18" ht="14.4" x14ac:dyDescent="0.25">
      <c r="A34" s="566" t="s">
        <v>29</v>
      </c>
      <c r="B34" s="993">
        <v>180000</v>
      </c>
      <c r="C34" s="994">
        <v>20000</v>
      </c>
      <c r="D34" s="995">
        <v>140000</v>
      </c>
      <c r="E34" s="996">
        <f t="shared" si="3"/>
        <v>340000</v>
      </c>
      <c r="F34" s="997">
        <v>0</v>
      </c>
      <c r="G34" s="998">
        <v>20000</v>
      </c>
      <c r="H34" s="999">
        <f t="shared" si="4"/>
        <v>360000</v>
      </c>
      <c r="I34" s="1000">
        <v>140000</v>
      </c>
      <c r="J34" s="294"/>
      <c r="K34" s="294"/>
      <c r="L34" s="294"/>
      <c r="M34" s="294"/>
      <c r="O34" s="644"/>
      <c r="P34" s="644"/>
      <c r="Q34" s="644"/>
      <c r="R34" s="644"/>
    </row>
    <row r="35" spans="1:18" ht="14.4" x14ac:dyDescent="0.25">
      <c r="A35" s="567" t="s">
        <v>91</v>
      </c>
      <c r="B35" s="1001">
        <v>13000</v>
      </c>
      <c r="C35" s="1002">
        <v>18000</v>
      </c>
      <c r="D35" s="1003">
        <v>98500</v>
      </c>
      <c r="E35" s="996">
        <f t="shared" si="3"/>
        <v>129500</v>
      </c>
      <c r="F35" s="1004">
        <v>0</v>
      </c>
      <c r="G35" s="1005">
        <v>500</v>
      </c>
      <c r="H35" s="999">
        <f t="shared" si="4"/>
        <v>130000</v>
      </c>
      <c r="I35" s="1006">
        <v>157000</v>
      </c>
      <c r="J35" s="294"/>
      <c r="K35" s="294"/>
      <c r="L35" s="294"/>
      <c r="M35" s="294"/>
      <c r="O35" s="644"/>
      <c r="P35" s="644"/>
      <c r="Q35" s="644"/>
      <c r="R35" s="644"/>
    </row>
    <row r="36" spans="1:18" ht="14.4" x14ac:dyDescent="0.25">
      <c r="A36" s="567" t="s">
        <v>30</v>
      </c>
      <c r="B36" s="1001">
        <v>30000</v>
      </c>
      <c r="C36" s="1002">
        <v>15000</v>
      </c>
      <c r="D36" s="1003">
        <v>65000</v>
      </c>
      <c r="E36" s="996">
        <f t="shared" si="3"/>
        <v>110000</v>
      </c>
      <c r="F36" s="1004">
        <v>0</v>
      </c>
      <c r="G36" s="1005">
        <v>20000</v>
      </c>
      <c r="H36" s="999">
        <f t="shared" si="4"/>
        <v>130000</v>
      </c>
      <c r="I36" s="1006">
        <v>31000</v>
      </c>
      <c r="J36" s="294"/>
      <c r="K36" s="294"/>
      <c r="L36" s="294"/>
      <c r="M36" s="294"/>
      <c r="O36" s="644"/>
      <c r="P36" s="644"/>
      <c r="Q36" s="644"/>
      <c r="R36" s="644"/>
    </row>
    <row r="37" spans="1:18" ht="14.4" x14ac:dyDescent="0.25">
      <c r="A37" s="567" t="s">
        <v>31</v>
      </c>
      <c r="B37" s="1001">
        <v>1000</v>
      </c>
      <c r="C37" s="1002">
        <v>400000</v>
      </c>
      <c r="D37" s="1003">
        <v>74000</v>
      </c>
      <c r="E37" s="996">
        <f t="shared" si="3"/>
        <v>475000</v>
      </c>
      <c r="F37" s="1004">
        <v>0</v>
      </c>
      <c r="G37" s="1005">
        <v>25000</v>
      </c>
      <c r="H37" s="999">
        <f t="shared" si="4"/>
        <v>500000</v>
      </c>
      <c r="I37" s="1006">
        <v>20000</v>
      </c>
      <c r="J37" s="294"/>
      <c r="K37" s="294"/>
      <c r="L37" s="294"/>
      <c r="M37" s="294"/>
      <c r="O37" s="644"/>
      <c r="P37" s="644"/>
      <c r="Q37" s="644"/>
      <c r="R37" s="644"/>
    </row>
    <row r="38" spans="1:18" ht="14.4" x14ac:dyDescent="0.25">
      <c r="A38" s="567" t="s">
        <v>32</v>
      </c>
      <c r="B38" s="1001">
        <v>0</v>
      </c>
      <c r="C38" s="1002">
        <v>0</v>
      </c>
      <c r="D38" s="1003">
        <v>0</v>
      </c>
      <c r="E38" s="996">
        <f t="shared" si="3"/>
        <v>0</v>
      </c>
      <c r="F38" s="1004">
        <v>0</v>
      </c>
      <c r="G38" s="1005">
        <v>0</v>
      </c>
      <c r="H38" s="999">
        <f t="shared" si="4"/>
        <v>0</v>
      </c>
      <c r="I38" s="1006">
        <v>0</v>
      </c>
      <c r="J38" s="294"/>
      <c r="K38" s="294"/>
      <c r="L38" s="294"/>
      <c r="M38" s="294"/>
      <c r="O38" s="644"/>
      <c r="P38" s="644"/>
      <c r="Q38" s="644"/>
      <c r="R38" s="644"/>
    </row>
    <row r="39" spans="1:18" ht="14.4" x14ac:dyDescent="0.25">
      <c r="A39" s="567" t="s">
        <v>33</v>
      </c>
      <c r="B39" s="1001">
        <v>0</v>
      </c>
      <c r="C39" s="1002">
        <v>0</v>
      </c>
      <c r="D39" s="1003">
        <v>0</v>
      </c>
      <c r="E39" s="996">
        <f t="shared" si="3"/>
        <v>0</v>
      </c>
      <c r="F39" s="1004">
        <v>0</v>
      </c>
      <c r="G39" s="1005">
        <v>0</v>
      </c>
      <c r="H39" s="999">
        <f t="shared" si="4"/>
        <v>0</v>
      </c>
      <c r="I39" s="1006">
        <v>0</v>
      </c>
      <c r="J39" s="294"/>
      <c r="K39" s="294"/>
      <c r="L39" s="294"/>
      <c r="M39" s="294"/>
      <c r="O39" s="644"/>
      <c r="P39" s="644"/>
      <c r="Q39" s="644"/>
      <c r="R39" s="644"/>
    </row>
    <row r="40" spans="1:18" ht="14.4" x14ac:dyDescent="0.25">
      <c r="A40" s="567" t="s">
        <v>34</v>
      </c>
      <c r="B40" s="1001">
        <v>0</v>
      </c>
      <c r="C40" s="1002">
        <v>0</v>
      </c>
      <c r="D40" s="1003">
        <v>0</v>
      </c>
      <c r="E40" s="996">
        <f t="shared" si="3"/>
        <v>0</v>
      </c>
      <c r="F40" s="1004">
        <v>0</v>
      </c>
      <c r="G40" s="1005">
        <v>0</v>
      </c>
      <c r="H40" s="999">
        <f t="shared" si="4"/>
        <v>0</v>
      </c>
      <c r="I40" s="1006">
        <v>0</v>
      </c>
      <c r="J40" s="294"/>
      <c r="K40" s="294"/>
      <c r="L40" s="294"/>
      <c r="M40" s="294"/>
      <c r="O40" s="644"/>
      <c r="P40" s="644"/>
      <c r="Q40" s="644"/>
      <c r="R40" s="644"/>
    </row>
    <row r="41" spans="1:18" ht="14.4" x14ac:dyDescent="0.25">
      <c r="A41" s="567" t="s">
        <v>35</v>
      </c>
      <c r="B41" s="1001">
        <v>0</v>
      </c>
      <c r="C41" s="1002">
        <v>0</v>
      </c>
      <c r="D41" s="1003">
        <v>0</v>
      </c>
      <c r="E41" s="996">
        <f t="shared" si="3"/>
        <v>0</v>
      </c>
      <c r="F41" s="1004">
        <v>0</v>
      </c>
      <c r="G41" s="1005">
        <v>0</v>
      </c>
      <c r="H41" s="999">
        <f t="shared" si="4"/>
        <v>0</v>
      </c>
      <c r="I41" s="1006">
        <v>0</v>
      </c>
      <c r="J41" s="294"/>
      <c r="K41" s="294"/>
      <c r="L41" s="294"/>
      <c r="M41" s="294"/>
      <c r="O41" s="644"/>
      <c r="P41" s="644"/>
      <c r="Q41" s="644"/>
      <c r="R41" s="644"/>
    </row>
    <row r="42" spans="1:18" ht="14.4" x14ac:dyDescent="0.25">
      <c r="A42" s="567" t="s">
        <v>37</v>
      </c>
      <c r="B42" s="1001">
        <v>14000</v>
      </c>
      <c r="C42" s="1002">
        <v>11000</v>
      </c>
      <c r="D42" s="1003">
        <v>10000</v>
      </c>
      <c r="E42" s="996">
        <f t="shared" si="3"/>
        <v>35000</v>
      </c>
      <c r="F42" s="1004">
        <v>0</v>
      </c>
      <c r="G42" s="1005">
        <v>0</v>
      </c>
      <c r="H42" s="999">
        <f t="shared" si="4"/>
        <v>35000</v>
      </c>
      <c r="I42" s="1006">
        <v>38500</v>
      </c>
      <c r="J42" s="294"/>
      <c r="K42" s="294"/>
      <c r="L42" s="294"/>
      <c r="M42" s="294"/>
      <c r="O42" s="644"/>
      <c r="P42" s="644"/>
      <c r="Q42" s="644"/>
      <c r="R42" s="644"/>
    </row>
    <row r="43" spans="1:18" ht="14.4" x14ac:dyDescent="0.25">
      <c r="A43" s="567" t="s">
        <v>81</v>
      </c>
      <c r="B43" s="1001">
        <v>0</v>
      </c>
      <c r="C43" s="1002">
        <v>0</v>
      </c>
      <c r="D43" s="1003">
        <v>0</v>
      </c>
      <c r="E43" s="996">
        <f t="shared" si="3"/>
        <v>0</v>
      </c>
      <c r="F43" s="1004">
        <v>0</v>
      </c>
      <c r="G43" s="1005">
        <v>0</v>
      </c>
      <c r="H43" s="999">
        <f t="shared" si="4"/>
        <v>0</v>
      </c>
      <c r="I43" s="1006">
        <v>0</v>
      </c>
      <c r="J43" s="294"/>
      <c r="K43" s="294"/>
      <c r="L43" s="294"/>
      <c r="M43" s="294"/>
      <c r="O43" s="644"/>
      <c r="P43" s="644"/>
      <c r="Q43" s="644"/>
      <c r="R43" s="644"/>
    </row>
    <row r="44" spans="1:18" ht="14.4" x14ac:dyDescent="0.25">
      <c r="A44" s="567" t="s">
        <v>257</v>
      </c>
      <c r="B44" s="231">
        <v>100000</v>
      </c>
      <c r="C44" s="1007">
        <v>48985</v>
      </c>
      <c r="D44" s="1008">
        <v>160000</v>
      </c>
      <c r="E44" s="996">
        <f t="shared" si="3"/>
        <v>308985</v>
      </c>
      <c r="F44" s="1004">
        <v>0</v>
      </c>
      <c r="G44" s="1005">
        <v>90000</v>
      </c>
      <c r="H44" s="999">
        <f t="shared" si="4"/>
        <v>398985</v>
      </c>
      <c r="I44" s="1006">
        <v>82000</v>
      </c>
      <c r="J44" s="294"/>
      <c r="K44" s="294"/>
      <c r="L44" s="294"/>
      <c r="M44" s="294"/>
      <c r="O44" s="644"/>
      <c r="P44" s="644"/>
      <c r="Q44" s="644"/>
      <c r="R44" s="644"/>
    </row>
    <row r="45" spans="1:18" ht="14.4" x14ac:dyDescent="0.25">
      <c r="A45" s="567" t="s">
        <v>258</v>
      </c>
      <c r="B45" s="231">
        <v>0</v>
      </c>
      <c r="C45" s="1007">
        <v>0</v>
      </c>
      <c r="D45" s="1008">
        <v>0</v>
      </c>
      <c r="E45" s="996">
        <f t="shared" si="3"/>
        <v>0</v>
      </c>
      <c r="F45" s="1004">
        <v>0</v>
      </c>
      <c r="G45" s="1005">
        <v>0</v>
      </c>
      <c r="H45" s="1009">
        <f t="shared" si="4"/>
        <v>0</v>
      </c>
      <c r="I45" s="1006">
        <v>0</v>
      </c>
      <c r="J45" s="294"/>
      <c r="K45" s="294"/>
      <c r="L45" s="294"/>
      <c r="M45" s="294"/>
      <c r="O45" s="644"/>
      <c r="P45" s="644"/>
      <c r="Q45" s="644"/>
      <c r="R45" s="644"/>
    </row>
    <row r="46" spans="1:18" ht="29.4" thickBot="1" x14ac:dyDescent="0.3">
      <c r="A46" s="884" t="s">
        <v>276</v>
      </c>
      <c r="B46" s="231">
        <v>0</v>
      </c>
      <c r="C46" s="1007">
        <v>0</v>
      </c>
      <c r="D46" s="1008">
        <v>0</v>
      </c>
      <c r="E46" s="996">
        <f t="shared" si="3"/>
        <v>0</v>
      </c>
      <c r="F46" s="1004">
        <v>0</v>
      </c>
      <c r="G46" s="1005">
        <v>0</v>
      </c>
      <c r="H46" s="1011">
        <f t="shared" si="4"/>
        <v>0</v>
      </c>
      <c r="I46" s="1006">
        <v>0</v>
      </c>
      <c r="J46" s="294"/>
      <c r="K46" s="294"/>
      <c r="L46" s="294"/>
      <c r="M46" s="294"/>
      <c r="O46" s="644"/>
      <c r="P46" s="644"/>
      <c r="Q46" s="644"/>
      <c r="R46" s="644"/>
    </row>
    <row r="47" spans="1:18" ht="15" thickBot="1" x14ac:dyDescent="0.3">
      <c r="A47" s="882" t="s">
        <v>277</v>
      </c>
      <c r="B47" s="1012">
        <f t="shared" ref="B47:I47" si="5">SUM(B33:B46)</f>
        <v>338000</v>
      </c>
      <c r="C47" s="1037">
        <f t="shared" si="5"/>
        <v>512985</v>
      </c>
      <c r="D47" s="1014">
        <f t="shared" si="5"/>
        <v>547500</v>
      </c>
      <c r="E47" s="1015">
        <f t="shared" si="5"/>
        <v>1398485</v>
      </c>
      <c r="F47" s="1015">
        <f t="shared" si="5"/>
        <v>0</v>
      </c>
      <c r="G47" s="1016">
        <f t="shared" si="5"/>
        <v>155500</v>
      </c>
      <c r="H47" s="1017">
        <f t="shared" si="5"/>
        <v>1553985</v>
      </c>
      <c r="I47" s="1018">
        <f t="shared" si="5"/>
        <v>468500</v>
      </c>
      <c r="J47" s="294"/>
      <c r="K47" s="294"/>
      <c r="L47" s="294"/>
      <c r="M47" s="294"/>
      <c r="O47" s="644"/>
      <c r="P47" s="644"/>
      <c r="Q47" s="644"/>
      <c r="R47" s="644"/>
    </row>
    <row r="48" spans="1:18" x14ac:dyDescent="0.25">
      <c r="A48" s="512"/>
      <c r="B48" s="639"/>
      <c r="C48" s="639"/>
      <c r="D48" s="639"/>
      <c r="E48" s="639"/>
      <c r="F48" s="639"/>
      <c r="G48" s="639"/>
      <c r="H48" s="639"/>
      <c r="I48" s="639"/>
      <c r="J48" s="646"/>
      <c r="K48" s="646"/>
      <c r="L48" s="644"/>
      <c r="M48" s="644"/>
      <c r="N48" s="644"/>
      <c r="O48" s="644"/>
      <c r="P48" s="644"/>
      <c r="Q48" s="644"/>
      <c r="R48" s="644"/>
    </row>
    <row r="49" spans="1:18" x14ac:dyDescent="0.25">
      <c r="A49" s="512"/>
      <c r="B49" s="639"/>
      <c r="C49" s="639"/>
      <c r="D49" s="639"/>
      <c r="E49" s="639"/>
      <c r="F49" s="639"/>
      <c r="G49" s="639"/>
      <c r="H49" s="639"/>
      <c r="I49" s="639"/>
      <c r="J49" s="646"/>
      <c r="K49" s="646"/>
      <c r="L49" s="644"/>
      <c r="M49" s="644"/>
      <c r="N49" s="644"/>
      <c r="O49" s="644"/>
      <c r="P49" s="644"/>
      <c r="Q49" s="644"/>
      <c r="R49" s="644"/>
    </row>
    <row r="50" spans="1:18" ht="24" customHeight="1" x14ac:dyDescent="0.25">
      <c r="A50" s="1118" t="s">
        <v>544</v>
      </c>
      <c r="B50" s="1118"/>
      <c r="C50" s="1118"/>
      <c r="D50" s="1118"/>
      <c r="E50" s="1118"/>
      <c r="F50" s="1118"/>
      <c r="G50" s="1118"/>
      <c r="H50" s="1118"/>
      <c r="I50" s="1118"/>
      <c r="J50" s="644"/>
      <c r="K50" s="644"/>
      <c r="L50" s="644"/>
      <c r="M50" s="644"/>
      <c r="N50" s="644"/>
      <c r="O50" s="644"/>
      <c r="P50" s="644"/>
      <c r="Q50" s="644"/>
      <c r="R50" s="644"/>
    </row>
    <row r="51" spans="1:18" ht="15" thickBot="1" x14ac:dyDescent="0.3">
      <c r="A51" s="293"/>
      <c r="B51" s="510"/>
      <c r="C51" s="510"/>
      <c r="D51" s="510"/>
      <c r="E51" s="510"/>
      <c r="F51" s="510"/>
      <c r="G51" s="508"/>
      <c r="H51" s="508"/>
      <c r="I51" s="510" t="s">
        <v>0</v>
      </c>
      <c r="J51" s="644"/>
      <c r="K51" s="644"/>
      <c r="L51" s="644"/>
      <c r="M51" s="644"/>
      <c r="N51" s="644"/>
      <c r="O51" s="644"/>
      <c r="P51" s="644"/>
      <c r="Q51" s="644"/>
      <c r="R51" s="644"/>
    </row>
    <row r="52" spans="1:18" ht="30" customHeight="1" x14ac:dyDescent="0.25">
      <c r="A52" s="1098" t="s">
        <v>328</v>
      </c>
      <c r="B52" s="1119" t="s">
        <v>481</v>
      </c>
      <c r="C52" s="1120"/>
      <c r="D52" s="1121"/>
      <c r="E52" s="1115" t="s">
        <v>490</v>
      </c>
      <c r="F52" s="1116"/>
      <c r="G52" s="1117"/>
      <c r="H52" s="1098" t="s">
        <v>488</v>
      </c>
      <c r="I52" s="1095" t="s">
        <v>493</v>
      </c>
      <c r="J52" s="644"/>
      <c r="K52" s="644"/>
      <c r="L52" s="644"/>
      <c r="M52" s="644"/>
      <c r="N52" s="644"/>
      <c r="O52" s="644"/>
      <c r="P52" s="644"/>
      <c r="Q52" s="644"/>
      <c r="R52" s="644"/>
    </row>
    <row r="53" spans="1:18" s="784" customFormat="1" ht="30" customHeight="1" x14ac:dyDescent="0.25">
      <c r="A53" s="1099"/>
      <c r="B53" s="1091" t="s">
        <v>514</v>
      </c>
      <c r="C53" s="1093" t="s">
        <v>513</v>
      </c>
      <c r="D53" s="1094"/>
      <c r="E53" s="1101" t="s">
        <v>469</v>
      </c>
      <c r="F53" s="1103" t="s">
        <v>494</v>
      </c>
      <c r="G53" s="1105" t="s">
        <v>486</v>
      </c>
      <c r="H53" s="1099"/>
      <c r="I53" s="1096"/>
      <c r="J53" s="871"/>
      <c r="K53" s="871"/>
      <c r="L53" s="871"/>
      <c r="M53" s="871"/>
      <c r="N53" s="871"/>
      <c r="O53" s="871"/>
      <c r="P53" s="871"/>
      <c r="Q53" s="871"/>
      <c r="R53" s="871"/>
    </row>
    <row r="54" spans="1:18" s="784" customFormat="1" ht="30" customHeight="1" thickBot="1" x14ac:dyDescent="0.3">
      <c r="A54" s="1100"/>
      <c r="B54" s="1092"/>
      <c r="C54" s="869" t="s">
        <v>491</v>
      </c>
      <c r="D54" s="870" t="s">
        <v>492</v>
      </c>
      <c r="E54" s="1102"/>
      <c r="F54" s="1104"/>
      <c r="G54" s="1106"/>
      <c r="H54" s="1100"/>
      <c r="I54" s="1097"/>
      <c r="J54" s="871"/>
      <c r="K54" s="871"/>
      <c r="L54" s="871"/>
      <c r="M54" s="871"/>
      <c r="N54" s="871"/>
      <c r="O54" s="871"/>
      <c r="P54" s="871"/>
      <c r="Q54" s="871"/>
      <c r="R54" s="871"/>
    </row>
    <row r="55" spans="1:18" ht="14.4" x14ac:dyDescent="0.25">
      <c r="A55" s="883" t="s">
        <v>28</v>
      </c>
      <c r="B55" s="985">
        <v>0</v>
      </c>
      <c r="C55" s="986">
        <v>0</v>
      </c>
      <c r="D55" s="987">
        <v>0</v>
      </c>
      <c r="E55" s="988">
        <f>SUM(B55:D55)</f>
        <v>0</v>
      </c>
      <c r="F55" s="989">
        <v>0</v>
      </c>
      <c r="G55" s="990">
        <v>0</v>
      </c>
      <c r="H55" s="991">
        <f t="shared" ref="H55:H67" si="6">SUM(E55:G55)</f>
        <v>0</v>
      </c>
      <c r="I55" s="992">
        <v>0</v>
      </c>
      <c r="J55" s="644"/>
      <c r="K55" s="644"/>
      <c r="L55" s="644"/>
      <c r="M55" s="644"/>
      <c r="N55" s="644"/>
      <c r="O55" s="644"/>
      <c r="P55" s="644"/>
      <c r="Q55" s="644"/>
      <c r="R55" s="644"/>
    </row>
    <row r="56" spans="1:18" ht="14.4" x14ac:dyDescent="0.25">
      <c r="A56" s="566" t="s">
        <v>29</v>
      </c>
      <c r="B56" s="993">
        <v>150000</v>
      </c>
      <c r="C56" s="994">
        <v>50000</v>
      </c>
      <c r="D56" s="995">
        <v>0</v>
      </c>
      <c r="E56" s="996">
        <f t="shared" ref="E56:E67" si="7">SUM(B56:D56)</f>
        <v>200000</v>
      </c>
      <c r="F56" s="997">
        <v>0</v>
      </c>
      <c r="G56" s="998">
        <v>0</v>
      </c>
      <c r="H56" s="999">
        <f t="shared" si="6"/>
        <v>200000</v>
      </c>
      <c r="I56" s="1000">
        <v>50000</v>
      </c>
      <c r="J56" s="644"/>
      <c r="K56" s="644"/>
      <c r="L56" s="644"/>
      <c r="M56" s="644"/>
      <c r="N56" s="644"/>
      <c r="O56" s="644"/>
      <c r="P56" s="644"/>
      <c r="Q56" s="644"/>
      <c r="R56" s="644"/>
    </row>
    <row r="57" spans="1:18" ht="14.4" x14ac:dyDescent="0.25">
      <c r="A57" s="567" t="s">
        <v>91</v>
      </c>
      <c r="B57" s="1001">
        <v>0</v>
      </c>
      <c r="C57" s="1002">
        <v>2856</v>
      </c>
      <c r="D57" s="1003">
        <v>8568</v>
      </c>
      <c r="E57" s="996">
        <f t="shared" si="7"/>
        <v>11424</v>
      </c>
      <c r="F57" s="1004">
        <v>0</v>
      </c>
      <c r="G57" s="1005">
        <v>0</v>
      </c>
      <c r="H57" s="999">
        <f t="shared" si="6"/>
        <v>11424</v>
      </c>
      <c r="I57" s="1006">
        <v>6076</v>
      </c>
      <c r="J57" s="644"/>
      <c r="K57" s="644"/>
      <c r="L57" s="644"/>
      <c r="M57" s="644"/>
      <c r="N57" s="644"/>
      <c r="O57" s="644"/>
      <c r="P57" s="644"/>
      <c r="Q57" s="644"/>
      <c r="R57" s="644"/>
    </row>
    <row r="58" spans="1:18" ht="14.4" x14ac:dyDescent="0.25">
      <c r="A58" s="567" t="s">
        <v>30</v>
      </c>
      <c r="B58" s="1001">
        <v>19000</v>
      </c>
      <c r="C58" s="1002">
        <v>91000</v>
      </c>
      <c r="D58" s="1003">
        <v>5000</v>
      </c>
      <c r="E58" s="996">
        <f t="shared" si="7"/>
        <v>115000</v>
      </c>
      <c r="F58" s="1004">
        <v>0</v>
      </c>
      <c r="G58" s="1005">
        <v>0</v>
      </c>
      <c r="H58" s="999">
        <f t="shared" si="6"/>
        <v>115000</v>
      </c>
      <c r="I58" s="1006">
        <v>5000</v>
      </c>
      <c r="J58" s="644"/>
      <c r="K58" s="644"/>
      <c r="L58" s="644"/>
      <c r="M58" s="644"/>
      <c r="N58" s="644"/>
      <c r="O58" s="644"/>
      <c r="P58" s="644"/>
      <c r="Q58" s="644"/>
      <c r="R58" s="644"/>
    </row>
    <row r="59" spans="1:18" ht="14.4" x14ac:dyDescent="0.25">
      <c r="A59" s="567" t="s">
        <v>31</v>
      </c>
      <c r="B59" s="1001">
        <v>0</v>
      </c>
      <c r="C59" s="1002">
        <v>0</v>
      </c>
      <c r="D59" s="1003">
        <v>0</v>
      </c>
      <c r="E59" s="996">
        <f t="shared" si="7"/>
        <v>0</v>
      </c>
      <c r="F59" s="1004">
        <v>0</v>
      </c>
      <c r="G59" s="1005">
        <v>0</v>
      </c>
      <c r="H59" s="999">
        <f t="shared" si="6"/>
        <v>0</v>
      </c>
      <c r="I59" s="1006">
        <v>0</v>
      </c>
      <c r="J59" s="644"/>
      <c r="K59" s="644"/>
      <c r="L59" s="644"/>
      <c r="M59" s="644"/>
      <c r="N59" s="644"/>
      <c r="O59" s="644"/>
      <c r="P59" s="644"/>
      <c r="Q59" s="644"/>
      <c r="R59" s="644"/>
    </row>
    <row r="60" spans="1:18" ht="14.4" x14ac:dyDescent="0.25">
      <c r="A60" s="567" t="s">
        <v>32</v>
      </c>
      <c r="B60" s="1001">
        <v>0</v>
      </c>
      <c r="C60" s="1002">
        <v>0</v>
      </c>
      <c r="D60" s="1003">
        <v>0</v>
      </c>
      <c r="E60" s="996">
        <f t="shared" si="7"/>
        <v>0</v>
      </c>
      <c r="F60" s="1004">
        <v>0</v>
      </c>
      <c r="G60" s="1005">
        <v>0</v>
      </c>
      <c r="H60" s="999">
        <f t="shared" si="6"/>
        <v>0</v>
      </c>
      <c r="I60" s="1006">
        <v>0</v>
      </c>
      <c r="J60" s="644"/>
      <c r="K60" s="644"/>
      <c r="L60" s="644"/>
      <c r="M60" s="644"/>
      <c r="N60" s="644"/>
      <c r="O60" s="644"/>
      <c r="P60" s="644"/>
      <c r="Q60" s="644"/>
      <c r="R60" s="644"/>
    </row>
    <row r="61" spans="1:18" ht="14.4" x14ac:dyDescent="0.25">
      <c r="A61" s="567" t="s">
        <v>33</v>
      </c>
      <c r="B61" s="1001">
        <v>0</v>
      </c>
      <c r="C61" s="1002">
        <v>0</v>
      </c>
      <c r="D61" s="1003">
        <v>0</v>
      </c>
      <c r="E61" s="996">
        <f t="shared" si="7"/>
        <v>0</v>
      </c>
      <c r="F61" s="1004">
        <v>0</v>
      </c>
      <c r="G61" s="1005">
        <v>0</v>
      </c>
      <c r="H61" s="999">
        <f t="shared" si="6"/>
        <v>0</v>
      </c>
      <c r="I61" s="1006">
        <v>0</v>
      </c>
      <c r="J61" s="644"/>
      <c r="K61" s="644"/>
      <c r="L61" s="644"/>
      <c r="M61" s="644"/>
      <c r="N61" s="644"/>
      <c r="O61" s="644"/>
      <c r="P61" s="644"/>
      <c r="Q61" s="644"/>
      <c r="R61" s="644"/>
    </row>
    <row r="62" spans="1:18" ht="14.4" x14ac:dyDescent="0.25">
      <c r="A62" s="567" t="s">
        <v>34</v>
      </c>
      <c r="B62" s="1001">
        <v>0</v>
      </c>
      <c r="C62" s="1002">
        <v>0</v>
      </c>
      <c r="D62" s="1003">
        <v>0</v>
      </c>
      <c r="E62" s="996">
        <f t="shared" si="7"/>
        <v>0</v>
      </c>
      <c r="F62" s="1004">
        <v>0</v>
      </c>
      <c r="G62" s="1005">
        <v>0</v>
      </c>
      <c r="H62" s="999">
        <f t="shared" si="6"/>
        <v>0</v>
      </c>
      <c r="I62" s="1006">
        <v>0</v>
      </c>
      <c r="J62" s="644"/>
      <c r="K62" s="644"/>
      <c r="L62" s="644"/>
      <c r="M62" s="644"/>
      <c r="N62" s="644"/>
      <c r="O62" s="644"/>
      <c r="P62" s="644"/>
      <c r="Q62" s="644"/>
      <c r="R62" s="644"/>
    </row>
    <row r="63" spans="1:18" ht="14.4" x14ac:dyDescent="0.25">
      <c r="A63" s="567" t="s">
        <v>37</v>
      </c>
      <c r="B63" s="1001">
        <v>63000</v>
      </c>
      <c r="C63" s="1002">
        <v>7400</v>
      </c>
      <c r="D63" s="1003">
        <v>22200</v>
      </c>
      <c r="E63" s="996">
        <f t="shared" si="7"/>
        <v>92600</v>
      </c>
      <c r="F63" s="1004">
        <v>0</v>
      </c>
      <c r="G63" s="1005">
        <v>0</v>
      </c>
      <c r="H63" s="999">
        <f t="shared" si="6"/>
        <v>92600</v>
      </c>
      <c r="I63" s="1006">
        <v>0</v>
      </c>
      <c r="J63" s="644"/>
      <c r="K63" s="644"/>
      <c r="L63" s="644"/>
      <c r="M63" s="644"/>
      <c r="N63" s="644"/>
      <c r="O63" s="644"/>
      <c r="P63" s="644"/>
      <c r="Q63" s="644"/>
      <c r="R63" s="644"/>
    </row>
    <row r="64" spans="1:18" ht="14.4" x14ac:dyDescent="0.25">
      <c r="A64" s="567" t="s">
        <v>81</v>
      </c>
      <c r="B64" s="1001">
        <v>0</v>
      </c>
      <c r="C64" s="1002">
        <v>0</v>
      </c>
      <c r="D64" s="1003">
        <v>0</v>
      </c>
      <c r="E64" s="996">
        <f t="shared" si="7"/>
        <v>0</v>
      </c>
      <c r="F64" s="1004">
        <v>0</v>
      </c>
      <c r="G64" s="1005">
        <v>0</v>
      </c>
      <c r="H64" s="999">
        <f t="shared" si="6"/>
        <v>0</v>
      </c>
      <c r="I64" s="1006">
        <v>0</v>
      </c>
      <c r="J64" s="644"/>
      <c r="K64" s="644"/>
      <c r="L64" s="644"/>
      <c r="M64" s="644"/>
      <c r="N64" s="644"/>
      <c r="O64" s="644"/>
      <c r="P64" s="644"/>
      <c r="Q64" s="644"/>
      <c r="R64" s="644"/>
    </row>
    <row r="65" spans="1:18" ht="14.4" x14ac:dyDescent="0.25">
      <c r="A65" s="567" t="s">
        <v>257</v>
      </c>
      <c r="B65" s="1001">
        <v>38460</v>
      </c>
      <c r="C65" s="1002">
        <v>19230</v>
      </c>
      <c r="D65" s="1003">
        <v>134610</v>
      </c>
      <c r="E65" s="996">
        <f t="shared" si="7"/>
        <v>192300</v>
      </c>
      <c r="F65" s="1004">
        <v>0</v>
      </c>
      <c r="G65" s="1005">
        <v>56000</v>
      </c>
      <c r="H65" s="999">
        <f t="shared" si="6"/>
        <v>248300</v>
      </c>
      <c r="I65" s="1006">
        <v>0</v>
      </c>
      <c r="J65" s="644"/>
      <c r="K65" s="644"/>
      <c r="L65" s="644"/>
      <c r="M65" s="644"/>
      <c r="N65" s="644"/>
      <c r="O65" s="644"/>
      <c r="P65" s="644"/>
      <c r="Q65" s="644"/>
      <c r="R65" s="644"/>
    </row>
    <row r="66" spans="1:18" ht="14.4" x14ac:dyDescent="0.25">
      <c r="A66" s="567" t="s">
        <v>258</v>
      </c>
      <c r="B66" s="1001">
        <v>0</v>
      </c>
      <c r="C66" s="1002">
        <v>0</v>
      </c>
      <c r="D66" s="1003">
        <v>0</v>
      </c>
      <c r="E66" s="996">
        <f t="shared" si="7"/>
        <v>0</v>
      </c>
      <c r="F66" s="1004">
        <v>0</v>
      </c>
      <c r="G66" s="1005">
        <v>0</v>
      </c>
      <c r="H66" s="999">
        <f t="shared" si="6"/>
        <v>0</v>
      </c>
      <c r="I66" s="1006">
        <v>0</v>
      </c>
      <c r="J66" s="644"/>
      <c r="K66" s="644"/>
      <c r="L66" s="644"/>
      <c r="M66" s="644"/>
      <c r="N66" s="644"/>
      <c r="O66" s="644"/>
      <c r="P66" s="644"/>
      <c r="Q66" s="644"/>
      <c r="R66" s="644"/>
    </row>
    <row r="67" spans="1:18" ht="29.4" thickBot="1" x14ac:dyDescent="0.3">
      <c r="A67" s="884" t="s">
        <v>276</v>
      </c>
      <c r="B67" s="231">
        <v>0</v>
      </c>
      <c r="C67" s="1007">
        <v>0</v>
      </c>
      <c r="D67" s="1008">
        <v>0</v>
      </c>
      <c r="E67" s="996">
        <f t="shared" si="7"/>
        <v>0</v>
      </c>
      <c r="F67" s="1004">
        <v>0</v>
      </c>
      <c r="G67" s="1005">
        <v>0</v>
      </c>
      <c r="H67" s="999">
        <f t="shared" si="6"/>
        <v>0</v>
      </c>
      <c r="I67" s="1006">
        <v>0</v>
      </c>
      <c r="J67" s="294"/>
      <c r="K67" s="294"/>
      <c r="L67" s="294"/>
      <c r="M67" s="294"/>
      <c r="O67" s="644"/>
      <c r="P67" s="644"/>
      <c r="Q67" s="644"/>
      <c r="R67" s="644"/>
    </row>
    <row r="68" spans="1:18" ht="15" thickBot="1" x14ac:dyDescent="0.3">
      <c r="A68" s="882" t="s">
        <v>277</v>
      </c>
      <c r="B68" s="1012">
        <f t="shared" ref="B68:I68" si="8">SUM(B55:B67)</f>
        <v>270460</v>
      </c>
      <c r="C68" s="1013">
        <f t="shared" si="8"/>
        <v>170486</v>
      </c>
      <c r="D68" s="1014">
        <f t="shared" si="8"/>
        <v>170378</v>
      </c>
      <c r="E68" s="1015">
        <f t="shared" si="8"/>
        <v>611324</v>
      </c>
      <c r="F68" s="1015">
        <f t="shared" si="8"/>
        <v>0</v>
      </c>
      <c r="G68" s="1016">
        <f t="shared" si="8"/>
        <v>56000</v>
      </c>
      <c r="H68" s="1017">
        <f t="shared" si="8"/>
        <v>667324</v>
      </c>
      <c r="I68" s="1018">
        <f t="shared" si="8"/>
        <v>61076</v>
      </c>
      <c r="J68" s="644"/>
      <c r="K68" s="644"/>
      <c r="L68" s="644"/>
      <c r="M68" s="644"/>
      <c r="N68" s="644"/>
      <c r="O68" s="644"/>
      <c r="P68" s="644"/>
      <c r="Q68" s="644"/>
      <c r="R68" s="644"/>
    </row>
    <row r="69" spans="1:18" ht="14.4" x14ac:dyDescent="0.25">
      <c r="A69" s="512"/>
      <c r="B69" s="513"/>
      <c r="C69" s="513"/>
      <c r="D69" s="513"/>
      <c r="E69" s="513"/>
      <c r="F69" s="513"/>
      <c r="G69" s="508"/>
      <c r="H69" s="508"/>
      <c r="I69" s="508"/>
      <c r="J69" s="644"/>
      <c r="K69" s="644"/>
      <c r="L69" s="644"/>
      <c r="M69" s="644"/>
      <c r="N69" s="644"/>
      <c r="O69" s="644"/>
      <c r="P69" s="644"/>
      <c r="Q69" s="644"/>
      <c r="R69" s="644"/>
    </row>
    <row r="70" spans="1:18" ht="14.4" x14ac:dyDescent="0.25">
      <c r="A70" s="512"/>
      <c r="B70" s="513"/>
      <c r="C70" s="513"/>
      <c r="D70" s="513"/>
      <c r="E70" s="513"/>
      <c r="F70" s="513"/>
      <c r="G70" s="508"/>
      <c r="H70" s="200"/>
      <c r="I70" s="508"/>
      <c r="J70" s="644"/>
      <c r="K70" s="644"/>
      <c r="L70" s="644"/>
      <c r="M70" s="644"/>
      <c r="N70" s="644"/>
      <c r="O70" s="644"/>
      <c r="P70" s="644"/>
      <c r="Q70" s="644"/>
      <c r="R70" s="644"/>
    </row>
    <row r="71" spans="1:18" ht="14.4" x14ac:dyDescent="0.25">
      <c r="A71" s="512"/>
      <c r="B71" s="513"/>
      <c r="C71" s="513"/>
      <c r="D71" s="513"/>
      <c r="E71" s="513"/>
      <c r="F71" s="513"/>
      <c r="G71" s="508"/>
      <c r="H71" s="508"/>
      <c r="I71" s="805"/>
      <c r="J71" s="644"/>
      <c r="K71" s="644"/>
      <c r="L71" s="644"/>
      <c r="M71" s="644"/>
      <c r="N71" s="644"/>
      <c r="O71" s="644"/>
      <c r="P71" s="644"/>
      <c r="Q71" s="644"/>
      <c r="R71" s="644"/>
    </row>
    <row r="72" spans="1:18" ht="15.6" x14ac:dyDescent="0.25">
      <c r="A72" s="99"/>
      <c r="B72" s="514"/>
      <c r="C72" s="514"/>
      <c r="D72" s="514"/>
      <c r="E72" s="514"/>
      <c r="F72" s="514"/>
      <c r="G72" s="508"/>
      <c r="H72" s="508"/>
      <c r="I72" s="508"/>
      <c r="J72" s="644"/>
      <c r="K72" s="644"/>
      <c r="L72" s="644"/>
      <c r="M72" s="644"/>
      <c r="N72" s="644"/>
      <c r="O72" s="644"/>
      <c r="P72" s="644"/>
      <c r="Q72" s="644"/>
      <c r="R72" s="644"/>
    </row>
    <row r="73" spans="1:18" ht="15.6" x14ac:dyDescent="0.25">
      <c r="A73" s="99"/>
      <c r="B73" s="514"/>
      <c r="C73" s="514"/>
      <c r="D73" s="514"/>
      <c r="E73" s="514"/>
      <c r="F73" s="514"/>
      <c r="G73" s="508"/>
      <c r="H73" s="508"/>
      <c r="I73" s="508"/>
      <c r="J73" s="644"/>
      <c r="K73" s="644"/>
      <c r="L73" s="644"/>
      <c r="M73" s="644"/>
      <c r="N73" s="644"/>
      <c r="O73" s="644"/>
      <c r="P73" s="644"/>
      <c r="Q73" s="644"/>
      <c r="R73" s="644"/>
    </row>
    <row r="74" spans="1:18" ht="15.6" x14ac:dyDescent="0.25">
      <c r="B74" s="515"/>
      <c r="C74" s="515"/>
      <c r="D74" s="515"/>
      <c r="E74" s="515"/>
      <c r="F74" s="515"/>
      <c r="G74" s="508"/>
      <c r="H74" s="508"/>
      <c r="I74" s="508"/>
      <c r="J74" s="644"/>
      <c r="K74" s="644"/>
      <c r="L74" s="644"/>
      <c r="M74" s="644"/>
      <c r="N74" s="644"/>
      <c r="O74" s="644"/>
      <c r="P74" s="644"/>
      <c r="Q74" s="644"/>
      <c r="R74" s="644"/>
    </row>
    <row r="75" spans="1:18" ht="14.4" x14ac:dyDescent="0.25">
      <c r="B75" s="644"/>
      <c r="C75" s="644"/>
      <c r="D75" s="644"/>
      <c r="E75" s="644"/>
      <c r="F75" s="644"/>
      <c r="G75" s="644"/>
      <c r="H75" s="508"/>
      <c r="I75" s="508"/>
      <c r="J75" s="644"/>
      <c r="K75" s="644"/>
      <c r="L75" s="644"/>
      <c r="M75" s="644"/>
      <c r="N75" s="644"/>
      <c r="O75" s="644"/>
      <c r="P75" s="644"/>
      <c r="Q75" s="644"/>
      <c r="R75" s="644"/>
    </row>
    <row r="76" spans="1:18" ht="15.6" x14ac:dyDescent="0.25">
      <c r="B76" s="515"/>
      <c r="C76" s="515"/>
      <c r="D76" s="515"/>
      <c r="E76" s="515"/>
      <c r="F76" s="515"/>
      <c r="G76" s="508"/>
      <c r="H76" s="508"/>
      <c r="I76" s="508"/>
      <c r="J76" s="644"/>
      <c r="K76" s="644"/>
      <c r="L76" s="644"/>
      <c r="M76" s="644"/>
      <c r="N76" s="644"/>
      <c r="O76" s="644"/>
      <c r="P76" s="644"/>
      <c r="Q76" s="644"/>
      <c r="R76" s="644"/>
    </row>
    <row r="77" spans="1:18" ht="15.6" x14ac:dyDescent="0.25">
      <c r="B77" s="515"/>
      <c r="C77" s="515"/>
      <c r="D77" s="515"/>
      <c r="E77" s="515"/>
      <c r="F77" s="515"/>
      <c r="G77" s="508"/>
      <c r="H77" s="508"/>
      <c r="I77" s="508"/>
      <c r="J77" s="644"/>
      <c r="K77" s="644"/>
      <c r="L77" s="644"/>
      <c r="M77" s="644"/>
      <c r="N77" s="644"/>
      <c r="O77" s="644"/>
      <c r="P77" s="644"/>
      <c r="Q77" s="644"/>
      <c r="R77" s="644"/>
    </row>
    <row r="78" spans="1:18" ht="15.6" x14ac:dyDescent="0.25">
      <c r="B78" s="515"/>
      <c r="C78" s="515"/>
      <c r="D78" s="515"/>
      <c r="E78" s="515"/>
      <c r="F78" s="515"/>
      <c r="G78" s="508"/>
      <c r="H78" s="508"/>
      <c r="I78" s="508"/>
      <c r="J78" s="644"/>
      <c r="K78" s="644"/>
      <c r="L78" s="644"/>
      <c r="M78" s="644"/>
      <c r="N78" s="644"/>
      <c r="O78" s="644"/>
      <c r="P78" s="644"/>
      <c r="Q78" s="644"/>
      <c r="R78" s="644"/>
    </row>
    <row r="79" spans="1:18" ht="15.6" x14ac:dyDescent="0.25">
      <c r="B79" s="515"/>
      <c r="C79" s="515"/>
      <c r="D79" s="515"/>
      <c r="E79" s="515"/>
      <c r="F79" s="515"/>
      <c r="G79" s="508"/>
      <c r="H79" s="508"/>
      <c r="I79" s="508"/>
      <c r="J79" s="644"/>
      <c r="K79" s="644"/>
      <c r="L79" s="644"/>
      <c r="M79" s="644"/>
      <c r="N79" s="644"/>
      <c r="O79" s="644"/>
      <c r="P79" s="644"/>
      <c r="Q79" s="644"/>
      <c r="R79" s="644"/>
    </row>
    <row r="80" spans="1:18" ht="15.6" x14ac:dyDescent="0.25">
      <c r="B80" s="515"/>
      <c r="C80" s="515"/>
      <c r="D80" s="515"/>
      <c r="E80" s="515"/>
      <c r="F80" s="515"/>
      <c r="G80" s="508"/>
      <c r="H80" s="508"/>
      <c r="I80" s="508"/>
      <c r="J80" s="644"/>
      <c r="K80" s="644"/>
      <c r="L80" s="644"/>
      <c r="M80" s="644"/>
      <c r="N80" s="644"/>
      <c r="O80" s="644"/>
      <c r="P80" s="644"/>
      <c r="Q80" s="644"/>
      <c r="R80" s="644"/>
    </row>
    <row r="81" spans="2:18" ht="15.6" x14ac:dyDescent="0.25">
      <c r="B81" s="515"/>
      <c r="C81" s="515"/>
      <c r="D81" s="515"/>
      <c r="E81" s="515"/>
      <c r="F81" s="515"/>
      <c r="G81" s="508"/>
      <c r="H81" s="508"/>
      <c r="I81" s="508"/>
      <c r="J81" s="644"/>
      <c r="K81" s="644"/>
      <c r="L81" s="644"/>
      <c r="M81" s="644"/>
      <c r="N81" s="644"/>
      <c r="O81" s="644"/>
      <c r="P81" s="644"/>
      <c r="Q81" s="644"/>
      <c r="R81" s="644"/>
    </row>
    <row r="82" spans="2:18" ht="15.6" x14ac:dyDescent="0.25">
      <c r="B82" s="515"/>
      <c r="C82" s="515"/>
      <c r="D82" s="515"/>
      <c r="E82" s="515"/>
      <c r="F82" s="515"/>
      <c r="G82" s="508"/>
      <c r="H82" s="508"/>
      <c r="I82" s="508"/>
      <c r="J82" s="644"/>
      <c r="K82" s="644"/>
      <c r="L82" s="644"/>
      <c r="M82" s="644"/>
      <c r="N82" s="644"/>
      <c r="O82" s="644"/>
      <c r="P82" s="644"/>
      <c r="Q82" s="644"/>
      <c r="R82" s="644"/>
    </row>
  </sheetData>
  <mergeCells count="34">
    <mergeCell ref="E30:G30"/>
    <mergeCell ref="E52:G52"/>
    <mergeCell ref="A28:I28"/>
    <mergeCell ref="A50:I50"/>
    <mergeCell ref="B30:D30"/>
    <mergeCell ref="B52:D52"/>
    <mergeCell ref="A30:A32"/>
    <mergeCell ref="H30:H32"/>
    <mergeCell ref="I30:I32"/>
    <mergeCell ref="B31:B32"/>
    <mergeCell ref="C31:D31"/>
    <mergeCell ref="E31:E32"/>
    <mergeCell ref="F31:F32"/>
    <mergeCell ref="G31:G32"/>
    <mergeCell ref="A4:I4"/>
    <mergeCell ref="C9:D9"/>
    <mergeCell ref="A8:A10"/>
    <mergeCell ref="B9:B10"/>
    <mergeCell ref="E9:E10"/>
    <mergeCell ref="F9:F10"/>
    <mergeCell ref="G9:G10"/>
    <mergeCell ref="I8:I10"/>
    <mergeCell ref="H8:H10"/>
    <mergeCell ref="A6:I6"/>
    <mergeCell ref="B8:D8"/>
    <mergeCell ref="E8:G8"/>
    <mergeCell ref="B53:B54"/>
    <mergeCell ref="C53:D53"/>
    <mergeCell ref="I52:I54"/>
    <mergeCell ref="A52:A54"/>
    <mergeCell ref="E53:E54"/>
    <mergeCell ref="F53:F54"/>
    <mergeCell ref="G53:G54"/>
    <mergeCell ref="H52:H54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47" fitToHeight="0" orientation="portrait" r:id="rId1"/>
  <rowBreaks count="1" manualBreakCount="1">
    <brk id="4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403"/>
  <sheetViews>
    <sheetView workbookViewId="0"/>
  </sheetViews>
  <sheetFormatPr defaultColWidth="9.109375" defaultRowHeight="13.8" x14ac:dyDescent="0.25"/>
  <cols>
    <col min="1" max="1" width="7.6640625" style="70" customWidth="1"/>
    <col min="2" max="2" width="70.6640625" style="70" customWidth="1"/>
    <col min="3" max="3" width="13.6640625" style="293" customWidth="1"/>
    <col min="4" max="4" width="13.6640625" style="334" customWidth="1"/>
    <col min="5" max="5" width="16.6640625" style="293" customWidth="1"/>
    <col min="6" max="6" width="15.5546875" style="294" customWidth="1"/>
    <col min="7" max="7" width="16.6640625" style="293" customWidth="1"/>
    <col min="8" max="9" width="16.6640625" style="294" customWidth="1"/>
    <col min="10" max="10" width="16.6640625" style="293" customWidth="1"/>
    <col min="11" max="11" width="10.6640625" style="624" customWidth="1"/>
    <col min="12" max="16384" width="9.109375" style="70"/>
  </cols>
  <sheetData>
    <row r="1" spans="1:13" s="57" customFormat="1" ht="15" customHeight="1" x14ac:dyDescent="0.25">
      <c r="A1" s="1055" t="s">
        <v>574</v>
      </c>
      <c r="B1" s="331"/>
      <c r="C1" s="516"/>
      <c r="D1" s="632"/>
      <c r="E1" s="332"/>
      <c r="F1" s="524"/>
      <c r="G1" s="332"/>
      <c r="H1" s="524"/>
      <c r="I1" s="524"/>
      <c r="J1" s="332"/>
      <c r="K1" s="611"/>
    </row>
    <row r="2" spans="1:13" s="57" customFormat="1" ht="24" customHeight="1" x14ac:dyDescent="0.25">
      <c r="A2" s="331" t="s">
        <v>511</v>
      </c>
      <c r="B2" s="331"/>
      <c r="C2" s="516"/>
      <c r="D2" s="632"/>
      <c r="E2" s="332"/>
      <c r="F2" s="524"/>
      <c r="G2" s="332"/>
      <c r="H2" s="524"/>
      <c r="I2" s="524"/>
      <c r="J2" s="332"/>
      <c r="K2" s="611"/>
    </row>
    <row r="3" spans="1:13" ht="15" customHeight="1" x14ac:dyDescent="0.25"/>
    <row r="4" spans="1:13" ht="15" customHeight="1" x14ac:dyDescent="0.25">
      <c r="A4" s="512"/>
      <c r="B4" s="512"/>
      <c r="C4" s="512"/>
      <c r="D4" s="633"/>
      <c r="E4" s="634"/>
      <c r="F4" s="635"/>
      <c r="G4" s="634"/>
      <c r="H4" s="635"/>
      <c r="I4" s="635"/>
      <c r="J4" s="634"/>
    </row>
    <row r="5" spans="1:13" ht="20.100000000000001" customHeight="1" x14ac:dyDescent="0.25">
      <c r="A5" s="509" t="s">
        <v>241</v>
      </c>
      <c r="B5" s="509"/>
      <c r="C5" s="517"/>
      <c r="D5" s="636"/>
      <c r="E5" s="520"/>
      <c r="F5" s="637"/>
      <c r="G5" s="520"/>
      <c r="H5" s="637"/>
      <c r="I5" s="637"/>
      <c r="J5" s="520"/>
    </row>
    <row r="6" spans="1:13" ht="15" customHeight="1" thickBot="1" x14ac:dyDescent="0.3">
      <c r="E6" s="634"/>
      <c r="F6" s="635"/>
      <c r="G6" s="634"/>
      <c r="H6" s="635"/>
      <c r="I6" s="635"/>
      <c r="J6" s="634"/>
      <c r="K6" s="166" t="s">
        <v>0</v>
      </c>
    </row>
    <row r="7" spans="1:13" ht="20.100000000000001" customHeight="1" x14ac:dyDescent="0.25">
      <c r="A7" s="1062" t="s">
        <v>1</v>
      </c>
      <c r="B7" s="1122"/>
      <c r="C7" s="1098" t="s">
        <v>249</v>
      </c>
      <c r="D7" s="1138" t="s">
        <v>248</v>
      </c>
      <c r="E7" s="1060" t="s">
        <v>402</v>
      </c>
      <c r="F7" s="1061"/>
      <c r="G7" s="1060" t="s">
        <v>450</v>
      </c>
      <c r="H7" s="1064"/>
      <c r="I7" s="1061"/>
      <c r="J7" s="1065" t="s">
        <v>507</v>
      </c>
      <c r="K7" s="1077" t="s">
        <v>508</v>
      </c>
    </row>
    <row r="8" spans="1:13" ht="35.1" customHeight="1" thickBot="1" x14ac:dyDescent="0.3">
      <c r="A8" s="1063"/>
      <c r="B8" s="1123"/>
      <c r="C8" s="1099"/>
      <c r="D8" s="1139"/>
      <c r="E8" s="236" t="s">
        <v>103</v>
      </c>
      <c r="F8" s="835" t="s">
        <v>520</v>
      </c>
      <c r="G8" s="236" t="s">
        <v>103</v>
      </c>
      <c r="H8" s="237" t="s">
        <v>556</v>
      </c>
      <c r="I8" s="238" t="s">
        <v>566</v>
      </c>
      <c r="J8" s="1066"/>
      <c r="K8" s="1078"/>
    </row>
    <row r="9" spans="1:13" ht="47.25" customHeight="1" x14ac:dyDescent="0.25">
      <c r="A9" s="1124" t="s">
        <v>326</v>
      </c>
      <c r="B9" s="1125"/>
      <c r="C9" s="1128">
        <v>4000000</v>
      </c>
      <c r="D9" s="1131">
        <v>46642</v>
      </c>
      <c r="E9" s="320">
        <f t="shared" ref="E9:G9" si="0">SUM(E10:E11)</f>
        <v>292901</v>
      </c>
      <c r="F9" s="321">
        <f t="shared" ref="F9:J9" si="1">SUM(F10:F11)</f>
        <v>285964.36</v>
      </c>
      <c r="G9" s="320">
        <f t="shared" si="0"/>
        <v>262545</v>
      </c>
      <c r="H9" s="322">
        <f t="shared" si="1"/>
        <v>266874.2</v>
      </c>
      <c r="I9" s="323">
        <f t="shared" si="1"/>
        <v>196560.06999999998</v>
      </c>
      <c r="J9" s="875">
        <f t="shared" si="1"/>
        <v>269829</v>
      </c>
      <c r="K9" s="301">
        <f t="shared" ref="K9:K23" si="2">J9/G9*100</f>
        <v>102.77438153459406</v>
      </c>
      <c r="L9" s="135"/>
      <c r="M9" s="293"/>
    </row>
    <row r="10" spans="1:13" ht="15" customHeight="1" x14ac:dyDescent="0.25">
      <c r="A10" s="1126" t="s">
        <v>92</v>
      </c>
      <c r="B10" s="300" t="s">
        <v>16</v>
      </c>
      <c r="C10" s="1129"/>
      <c r="D10" s="1132"/>
      <c r="E10" s="296">
        <v>239487</v>
      </c>
      <c r="F10" s="297">
        <v>239486.82</v>
      </c>
      <c r="G10" s="296">
        <v>239487</v>
      </c>
      <c r="H10" s="298">
        <v>239487</v>
      </c>
      <c r="I10" s="297">
        <v>179615.11</v>
      </c>
      <c r="J10" s="876">
        <v>239487</v>
      </c>
      <c r="K10" s="299">
        <f t="shared" si="2"/>
        <v>100</v>
      </c>
      <c r="L10" s="135"/>
      <c r="M10" s="135"/>
    </row>
    <row r="11" spans="1:13" ht="15" customHeight="1" thickBot="1" x14ac:dyDescent="0.3">
      <c r="A11" s="1127"/>
      <c r="B11" s="324" t="s">
        <v>48</v>
      </c>
      <c r="C11" s="1130"/>
      <c r="D11" s="1133"/>
      <c r="E11" s="326">
        <v>53414</v>
      </c>
      <c r="F11" s="325">
        <v>46477.54</v>
      </c>
      <c r="G11" s="326">
        <v>23058</v>
      </c>
      <c r="H11" s="327">
        <v>27387.200000000001</v>
      </c>
      <c r="I11" s="328">
        <v>16944.96</v>
      </c>
      <c r="J11" s="877">
        <v>30342</v>
      </c>
      <c r="K11" s="329">
        <f t="shared" si="2"/>
        <v>131.58990372105126</v>
      </c>
      <c r="L11" s="135"/>
      <c r="M11" s="293"/>
    </row>
    <row r="12" spans="1:13" ht="47.25" customHeight="1" x14ac:dyDescent="0.25">
      <c r="A12" s="1124" t="s">
        <v>401</v>
      </c>
      <c r="B12" s="1125"/>
      <c r="C12" s="1128">
        <v>2750000</v>
      </c>
      <c r="D12" s="1131">
        <v>45473</v>
      </c>
      <c r="E12" s="320">
        <f t="shared" ref="E12" si="3">SUM(E13:E14)</f>
        <v>40045</v>
      </c>
      <c r="F12" s="321">
        <f t="shared" ref="F12:J12" si="4">SUM(F13:F14)</f>
        <v>40026.74</v>
      </c>
      <c r="G12" s="320">
        <f t="shared" si="4"/>
        <v>0</v>
      </c>
      <c r="H12" s="322">
        <f t="shared" si="4"/>
        <v>0</v>
      </c>
      <c r="I12" s="323">
        <f t="shared" si="4"/>
        <v>0</v>
      </c>
      <c r="J12" s="875">
        <f t="shared" si="4"/>
        <v>0</v>
      </c>
      <c r="K12" s="949" t="s">
        <v>58</v>
      </c>
      <c r="L12" s="135"/>
    </row>
    <row r="13" spans="1:13" ht="15" customHeight="1" x14ac:dyDescent="0.25">
      <c r="A13" s="1126" t="s">
        <v>92</v>
      </c>
      <c r="B13" s="300" t="s">
        <v>16</v>
      </c>
      <c r="C13" s="1129"/>
      <c r="D13" s="1132"/>
      <c r="E13" s="296">
        <v>39070</v>
      </c>
      <c r="F13" s="297">
        <v>39070</v>
      </c>
      <c r="G13" s="296">
        <v>0</v>
      </c>
      <c r="H13" s="298">
        <v>0</v>
      </c>
      <c r="I13" s="297">
        <v>0</v>
      </c>
      <c r="J13" s="876">
        <v>0</v>
      </c>
      <c r="K13" s="867" t="s">
        <v>58</v>
      </c>
      <c r="L13" s="135"/>
    </row>
    <row r="14" spans="1:13" ht="15" customHeight="1" thickBot="1" x14ac:dyDescent="0.3">
      <c r="A14" s="1127"/>
      <c r="B14" s="324" t="s">
        <v>48</v>
      </c>
      <c r="C14" s="1130"/>
      <c r="D14" s="1133"/>
      <c r="E14" s="326">
        <v>975</v>
      </c>
      <c r="F14" s="325">
        <v>956.74</v>
      </c>
      <c r="G14" s="326">
        <v>0</v>
      </c>
      <c r="H14" s="327">
        <v>0</v>
      </c>
      <c r="I14" s="325">
        <v>0</v>
      </c>
      <c r="J14" s="877">
        <v>0</v>
      </c>
      <c r="K14" s="330" t="s">
        <v>58</v>
      </c>
      <c r="L14" s="135"/>
    </row>
    <row r="15" spans="1:13" ht="44.25" customHeight="1" x14ac:dyDescent="0.25">
      <c r="A15" s="1124" t="s">
        <v>336</v>
      </c>
      <c r="B15" s="1125"/>
      <c r="C15" s="1128">
        <v>3050000</v>
      </c>
      <c r="D15" s="1131">
        <v>53973</v>
      </c>
      <c r="E15" s="320">
        <f t="shared" ref="E15" si="5">SUM(E16:E17)</f>
        <v>169204</v>
      </c>
      <c r="F15" s="321">
        <f t="shared" ref="F15:J15" si="6">SUM(F16:F17)</f>
        <v>124986.33</v>
      </c>
      <c r="G15" s="320">
        <f t="shared" si="6"/>
        <v>150803</v>
      </c>
      <c r="H15" s="322">
        <f t="shared" si="6"/>
        <v>172485.6</v>
      </c>
      <c r="I15" s="323">
        <f t="shared" si="6"/>
        <v>64166.21</v>
      </c>
      <c r="J15" s="875">
        <f t="shared" si="6"/>
        <v>298994</v>
      </c>
      <c r="K15" s="301">
        <f t="shared" si="2"/>
        <v>198.26793896673144</v>
      </c>
      <c r="L15" s="135"/>
    </row>
    <row r="16" spans="1:13" ht="15" customHeight="1" x14ac:dyDescent="0.25">
      <c r="A16" s="1126" t="s">
        <v>92</v>
      </c>
      <c r="B16" s="300" t="s">
        <v>16</v>
      </c>
      <c r="C16" s="1129"/>
      <c r="D16" s="1132"/>
      <c r="E16" s="296">
        <v>8031</v>
      </c>
      <c r="F16" s="297">
        <v>8030.3</v>
      </c>
      <c r="G16" s="296">
        <v>35292</v>
      </c>
      <c r="H16" s="298">
        <v>35292</v>
      </c>
      <c r="I16" s="297">
        <v>14440.56</v>
      </c>
      <c r="J16" s="876">
        <v>61830</v>
      </c>
      <c r="K16" s="299">
        <f t="shared" si="2"/>
        <v>175.19551173070386</v>
      </c>
      <c r="L16" s="135"/>
    </row>
    <row r="17" spans="1:12" ht="15" customHeight="1" thickBot="1" x14ac:dyDescent="0.3">
      <c r="A17" s="1127"/>
      <c r="B17" s="324" t="s">
        <v>48</v>
      </c>
      <c r="C17" s="1130"/>
      <c r="D17" s="1133"/>
      <c r="E17" s="326">
        <v>161173</v>
      </c>
      <c r="F17" s="325">
        <v>116956.03</v>
      </c>
      <c r="G17" s="326">
        <v>115511</v>
      </c>
      <c r="H17" s="327">
        <v>137193.60000000001</v>
      </c>
      <c r="I17" s="325">
        <v>49725.65</v>
      </c>
      <c r="J17" s="877">
        <v>237164</v>
      </c>
      <c r="K17" s="329">
        <f t="shared" si="2"/>
        <v>205.31724251369999</v>
      </c>
      <c r="L17" s="135"/>
    </row>
    <row r="18" spans="1:12" ht="30" customHeight="1" x14ac:dyDescent="0.25">
      <c r="A18" s="1124" t="s">
        <v>335</v>
      </c>
      <c r="B18" s="1125"/>
      <c r="C18" s="1128">
        <v>2500000</v>
      </c>
      <c r="D18" s="1131">
        <v>48213</v>
      </c>
      <c r="E18" s="320">
        <f t="shared" ref="E18" si="7">SUM(E19:E20)</f>
        <v>9017</v>
      </c>
      <c r="F18" s="321">
        <f t="shared" ref="F18:J18" si="8">SUM(F19:F20)</f>
        <v>0</v>
      </c>
      <c r="G18" s="320">
        <f t="shared" si="8"/>
        <v>6359</v>
      </c>
      <c r="H18" s="322">
        <f t="shared" si="8"/>
        <v>7632.5</v>
      </c>
      <c r="I18" s="323">
        <f t="shared" si="8"/>
        <v>0</v>
      </c>
      <c r="J18" s="875">
        <f t="shared" si="8"/>
        <v>11946</v>
      </c>
      <c r="K18" s="301">
        <f t="shared" si="2"/>
        <v>187.85972637207109</v>
      </c>
      <c r="L18" s="135"/>
    </row>
    <row r="19" spans="1:12" ht="15" customHeight="1" x14ac:dyDescent="0.25">
      <c r="A19" s="1126" t="s">
        <v>92</v>
      </c>
      <c r="B19" s="300" t="s">
        <v>16</v>
      </c>
      <c r="C19" s="1129"/>
      <c r="D19" s="1132"/>
      <c r="E19" s="296">
        <v>0</v>
      </c>
      <c r="F19" s="297">
        <v>0</v>
      </c>
      <c r="G19" s="296">
        <v>0</v>
      </c>
      <c r="H19" s="298">
        <v>0</v>
      </c>
      <c r="I19" s="297">
        <v>0</v>
      </c>
      <c r="J19" s="876">
        <v>0</v>
      </c>
      <c r="K19" s="867" t="s">
        <v>58</v>
      </c>
      <c r="L19" s="135"/>
    </row>
    <row r="20" spans="1:12" ht="15" customHeight="1" thickBot="1" x14ac:dyDescent="0.3">
      <c r="A20" s="1127"/>
      <c r="B20" s="324" t="s">
        <v>48</v>
      </c>
      <c r="C20" s="1130"/>
      <c r="D20" s="1133"/>
      <c r="E20" s="326">
        <v>9017</v>
      </c>
      <c r="F20" s="325">
        <v>0</v>
      </c>
      <c r="G20" s="326">
        <v>6359</v>
      </c>
      <c r="H20" s="327">
        <v>7632.5</v>
      </c>
      <c r="I20" s="325">
        <v>0</v>
      </c>
      <c r="J20" s="877">
        <v>11946</v>
      </c>
      <c r="K20" s="329">
        <f t="shared" si="2"/>
        <v>187.85972637207109</v>
      </c>
      <c r="L20" s="135"/>
    </row>
    <row r="21" spans="1:12" ht="30" customHeight="1" x14ac:dyDescent="0.25">
      <c r="A21" s="1124" t="s">
        <v>334</v>
      </c>
      <c r="B21" s="1125"/>
      <c r="C21" s="1128">
        <v>4000000</v>
      </c>
      <c r="D21" s="1131">
        <v>53692</v>
      </c>
      <c r="E21" s="320">
        <f t="shared" ref="E21" si="9">SUM(E22:E23)</f>
        <v>14295</v>
      </c>
      <c r="F21" s="321">
        <f t="shared" ref="F21:J21" si="10">SUM(F22:F23)</f>
        <v>0</v>
      </c>
      <c r="G21" s="320">
        <f t="shared" si="10"/>
        <v>14395</v>
      </c>
      <c r="H21" s="322">
        <f t="shared" si="10"/>
        <v>17109.7</v>
      </c>
      <c r="I21" s="323">
        <f t="shared" si="10"/>
        <v>0</v>
      </c>
      <c r="J21" s="875">
        <f t="shared" si="10"/>
        <v>27355</v>
      </c>
      <c r="K21" s="301">
        <f t="shared" si="2"/>
        <v>190.03126085446337</v>
      </c>
      <c r="L21" s="135"/>
    </row>
    <row r="22" spans="1:12" ht="15" customHeight="1" x14ac:dyDescent="0.25">
      <c r="A22" s="1126" t="s">
        <v>92</v>
      </c>
      <c r="B22" s="300" t="s">
        <v>16</v>
      </c>
      <c r="C22" s="1129"/>
      <c r="D22" s="1132"/>
      <c r="E22" s="296">
        <v>0</v>
      </c>
      <c r="F22" s="297">
        <v>0</v>
      </c>
      <c r="G22" s="296">
        <v>0</v>
      </c>
      <c r="H22" s="298">
        <v>0</v>
      </c>
      <c r="I22" s="297">
        <v>0</v>
      </c>
      <c r="J22" s="876">
        <v>0</v>
      </c>
      <c r="K22" s="867" t="s">
        <v>58</v>
      </c>
      <c r="L22" s="135"/>
    </row>
    <row r="23" spans="1:12" ht="15" customHeight="1" thickBot="1" x14ac:dyDescent="0.3">
      <c r="A23" s="1127"/>
      <c r="B23" s="324" t="s">
        <v>48</v>
      </c>
      <c r="C23" s="1130"/>
      <c r="D23" s="1133"/>
      <c r="E23" s="326">
        <v>14295</v>
      </c>
      <c r="F23" s="325">
        <v>0</v>
      </c>
      <c r="G23" s="326">
        <v>14395</v>
      </c>
      <c r="H23" s="327">
        <v>17109.7</v>
      </c>
      <c r="I23" s="325">
        <v>0</v>
      </c>
      <c r="J23" s="877">
        <v>27355</v>
      </c>
      <c r="K23" s="329">
        <f t="shared" si="2"/>
        <v>190.03126085446337</v>
      </c>
      <c r="L23" s="135"/>
    </row>
    <row r="24" spans="1:12" s="99" customFormat="1" ht="30" customHeight="1" x14ac:dyDescent="0.25">
      <c r="A24" s="343" t="s">
        <v>55</v>
      </c>
      <c r="B24" s="343"/>
      <c r="C24" s="1135" t="s">
        <v>322</v>
      </c>
      <c r="D24" s="1131" t="s">
        <v>322</v>
      </c>
      <c r="E24" s="320">
        <f t="shared" ref="E24" si="11">SUM(E25:E26)</f>
        <v>525462</v>
      </c>
      <c r="F24" s="321">
        <f t="shared" ref="F24:J24" si="12">SUM(F25:F26)</f>
        <v>450977.43</v>
      </c>
      <c r="G24" s="320">
        <f t="shared" si="12"/>
        <v>434102</v>
      </c>
      <c r="H24" s="322">
        <f t="shared" si="12"/>
        <v>464102</v>
      </c>
      <c r="I24" s="795">
        <f t="shared" si="12"/>
        <v>260726.27999999997</v>
      </c>
      <c r="J24" s="875">
        <f t="shared" si="12"/>
        <v>608124</v>
      </c>
      <c r="K24" s="829">
        <f>J24/G24*100</f>
        <v>140.08781346319529</v>
      </c>
    </row>
    <row r="25" spans="1:12" s="99" customFormat="1" ht="15" customHeight="1" x14ac:dyDescent="0.25">
      <c r="A25" s="1134" t="s">
        <v>92</v>
      </c>
      <c r="B25" s="333" t="s">
        <v>16</v>
      </c>
      <c r="C25" s="1136"/>
      <c r="D25" s="1132"/>
      <c r="E25" s="296">
        <f t="shared" ref="E25" si="13">+E10+E13+E16+E19+E22</f>
        <v>286588</v>
      </c>
      <c r="F25" s="669">
        <f t="shared" ref="F25:J25" si="14">+F10+F13+F16+F19+F22</f>
        <v>286587.12</v>
      </c>
      <c r="G25" s="296">
        <v>274779</v>
      </c>
      <c r="H25" s="298">
        <f t="shared" si="14"/>
        <v>274779</v>
      </c>
      <c r="I25" s="669">
        <f t="shared" si="14"/>
        <v>194055.66999999998</v>
      </c>
      <c r="J25" s="878">
        <f t="shared" si="14"/>
        <v>301317</v>
      </c>
      <c r="K25" s="342">
        <f>J25/G25*100</f>
        <v>109.6579432926097</v>
      </c>
    </row>
    <row r="26" spans="1:12" s="99" customFormat="1" ht="15" customHeight="1" thickBot="1" x14ac:dyDescent="0.3">
      <c r="A26" s="1127"/>
      <c r="B26" s="324" t="s">
        <v>48</v>
      </c>
      <c r="C26" s="1137"/>
      <c r="D26" s="1133"/>
      <c r="E26" s="326">
        <f t="shared" ref="E26" si="15">+E11+E14+E17+E20+E23</f>
        <v>238874</v>
      </c>
      <c r="F26" s="670">
        <f t="shared" ref="F26:J26" si="16">+F11+F14+F17+F20+F23</f>
        <v>164390.31</v>
      </c>
      <c r="G26" s="326">
        <v>159323</v>
      </c>
      <c r="H26" s="327">
        <f t="shared" si="16"/>
        <v>189323.00000000003</v>
      </c>
      <c r="I26" s="670">
        <f t="shared" si="16"/>
        <v>66670.61</v>
      </c>
      <c r="J26" s="879">
        <f t="shared" si="16"/>
        <v>306807</v>
      </c>
      <c r="K26" s="330">
        <f>J26/G26*100</f>
        <v>192.56918335707965</v>
      </c>
    </row>
    <row r="27" spans="1:12" s="99" customFormat="1" ht="20.25" customHeight="1" x14ac:dyDescent="0.25">
      <c r="C27" s="514"/>
      <c r="D27" s="341"/>
      <c r="E27" s="294"/>
      <c r="F27" s="294"/>
      <c r="G27" s="294"/>
      <c r="H27" s="294"/>
      <c r="I27" s="294"/>
      <c r="J27" s="294"/>
      <c r="K27" s="638"/>
    </row>
    <row r="28" spans="1:12" ht="15" customHeight="1" x14ac:dyDescent="0.25">
      <c r="E28" s="294"/>
      <c r="G28" s="294"/>
      <c r="J28" s="294"/>
    </row>
    <row r="29" spans="1:12" ht="15" customHeight="1" x14ac:dyDescent="0.25">
      <c r="E29" s="513"/>
      <c r="F29" s="639"/>
      <c r="G29" s="513"/>
      <c r="H29" s="639"/>
      <c r="I29" s="639"/>
      <c r="J29" s="513"/>
    </row>
    <row r="30" spans="1:12" ht="14.4" x14ac:dyDescent="0.25">
      <c r="A30" s="34"/>
      <c r="B30" s="34"/>
      <c r="C30" s="522"/>
      <c r="D30" s="640"/>
      <c r="E30" s="522"/>
      <c r="F30" s="33"/>
      <c r="G30" s="522"/>
      <c r="H30" s="33"/>
      <c r="I30" s="33"/>
      <c r="J30" s="522"/>
    </row>
    <row r="35" spans="1:10" ht="15.6" x14ac:dyDescent="0.25">
      <c r="A35" s="99"/>
      <c r="B35" s="99"/>
      <c r="C35" s="515"/>
      <c r="D35" s="641"/>
      <c r="E35" s="515"/>
      <c r="F35" s="521"/>
      <c r="G35" s="515"/>
      <c r="H35" s="521"/>
      <c r="I35" s="521"/>
      <c r="J35" s="515"/>
    </row>
    <row r="36" spans="1:10" ht="15.6" x14ac:dyDescent="0.25">
      <c r="A36" s="99"/>
      <c r="B36" s="99"/>
      <c r="C36" s="515"/>
      <c r="D36" s="641"/>
      <c r="E36" s="515"/>
      <c r="F36" s="521"/>
      <c r="G36" s="515"/>
      <c r="H36" s="521"/>
      <c r="I36" s="521"/>
      <c r="J36" s="515"/>
    </row>
    <row r="37" spans="1:10" ht="15.6" x14ac:dyDescent="0.25">
      <c r="A37" s="99"/>
      <c r="B37" s="99"/>
      <c r="C37" s="515"/>
      <c r="D37" s="641"/>
      <c r="E37" s="515"/>
      <c r="F37" s="521"/>
      <c r="G37" s="515"/>
      <c r="H37" s="521"/>
      <c r="I37" s="521"/>
      <c r="J37" s="515"/>
    </row>
    <row r="39" spans="1:10" x14ac:dyDescent="0.25">
      <c r="E39" s="523"/>
      <c r="F39" s="519"/>
      <c r="G39" s="523"/>
      <c r="H39" s="519"/>
      <c r="I39" s="519"/>
      <c r="J39" s="523"/>
    </row>
    <row r="41" spans="1:10" ht="15.6" x14ac:dyDescent="0.25">
      <c r="A41" s="99"/>
      <c r="B41" s="99"/>
      <c r="C41" s="515"/>
      <c r="D41" s="641"/>
      <c r="E41" s="515"/>
      <c r="F41" s="521"/>
      <c r="G41" s="515"/>
      <c r="H41" s="521"/>
      <c r="I41" s="521"/>
      <c r="J41" s="515"/>
    </row>
    <row r="42" spans="1:10" x14ac:dyDescent="0.25">
      <c r="A42" s="518"/>
      <c r="B42" s="518"/>
      <c r="C42" s="523"/>
      <c r="D42" s="642"/>
    </row>
    <row r="43" spans="1:10" ht="15.6" x14ac:dyDescent="0.25">
      <c r="A43" s="99"/>
      <c r="B43" s="99"/>
      <c r="C43" s="515"/>
      <c r="D43" s="641"/>
      <c r="E43" s="515"/>
      <c r="F43" s="521"/>
      <c r="G43" s="515"/>
      <c r="H43" s="521"/>
      <c r="I43" s="521"/>
      <c r="J43" s="515"/>
    </row>
    <row r="44" spans="1:10" ht="15.6" x14ac:dyDescent="0.25">
      <c r="A44" s="99"/>
      <c r="B44" s="99"/>
      <c r="C44" s="515"/>
      <c r="D44" s="641"/>
      <c r="E44" s="515"/>
      <c r="F44" s="521"/>
      <c r="G44" s="515"/>
      <c r="H44" s="521"/>
      <c r="I44" s="521"/>
      <c r="J44" s="515"/>
    </row>
    <row r="45" spans="1:10" ht="15.6" x14ac:dyDescent="0.25">
      <c r="A45" s="99"/>
      <c r="B45" s="99"/>
      <c r="C45" s="515"/>
      <c r="D45" s="641"/>
      <c r="E45" s="515"/>
      <c r="F45" s="521"/>
      <c r="G45" s="515"/>
      <c r="H45" s="521"/>
      <c r="I45" s="521"/>
      <c r="J45" s="515"/>
    </row>
    <row r="46" spans="1:10" ht="15.6" x14ac:dyDescent="0.25">
      <c r="A46" s="99"/>
      <c r="B46" s="99"/>
      <c r="C46" s="515"/>
      <c r="D46" s="641"/>
      <c r="E46" s="515"/>
      <c r="F46" s="521"/>
      <c r="G46" s="515"/>
      <c r="H46" s="521"/>
      <c r="I46" s="521"/>
      <c r="J46" s="515"/>
    </row>
    <row r="403" spans="1:12" x14ac:dyDescent="0.25">
      <c r="A403" s="334"/>
      <c r="B403" s="334"/>
      <c r="L403" s="334"/>
    </row>
  </sheetData>
  <mergeCells count="30">
    <mergeCell ref="J7:J8"/>
    <mergeCell ref="E7:F7"/>
    <mergeCell ref="G7:I7"/>
    <mergeCell ref="K7:K8"/>
    <mergeCell ref="C9:C11"/>
    <mergeCell ref="D9:D11"/>
    <mergeCell ref="C7:C8"/>
    <mergeCell ref="D7:D8"/>
    <mergeCell ref="C12:C14"/>
    <mergeCell ref="D12:D14"/>
    <mergeCell ref="C15:C17"/>
    <mergeCell ref="D15:D17"/>
    <mergeCell ref="A25:A26"/>
    <mergeCell ref="C24:C26"/>
    <mergeCell ref="D24:D26"/>
    <mergeCell ref="A18:B18"/>
    <mergeCell ref="C18:C20"/>
    <mergeCell ref="D18:D20"/>
    <mergeCell ref="A19:A20"/>
    <mergeCell ref="A21:B21"/>
    <mergeCell ref="C21:C23"/>
    <mergeCell ref="D21:D23"/>
    <mergeCell ref="A22:A23"/>
    <mergeCell ref="A16:A17"/>
    <mergeCell ref="A7:B8"/>
    <mergeCell ref="A15:B15"/>
    <mergeCell ref="A12:B12"/>
    <mergeCell ref="A9:B9"/>
    <mergeCell ref="A10:A11"/>
    <mergeCell ref="A13:A14"/>
  </mergeCells>
  <phoneticPr fontId="9" type="noConversion"/>
  <printOptions horizontalCentered="1"/>
  <pageMargins left="0.59055118110236227" right="0.59055118110236227" top="0.78740157480314965" bottom="0.78740157480314965" header="0.59055118110236227" footer="0.59055118110236227"/>
  <pageSetup paperSize="9" scale="4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38"/>
  <sheetViews>
    <sheetView workbookViewId="0">
      <selection activeCell="C4" sqref="C4"/>
    </sheetView>
  </sheetViews>
  <sheetFormatPr defaultColWidth="9.109375" defaultRowHeight="13.8" x14ac:dyDescent="0.3"/>
  <cols>
    <col min="1" max="1" width="7" style="29" customWidth="1"/>
    <col min="2" max="2" width="59.6640625" style="29" customWidth="1"/>
    <col min="3" max="3" width="16.6640625" style="31" customWidth="1"/>
    <col min="4" max="4" width="14.5546875" style="31" customWidth="1"/>
    <col min="5" max="5" width="16.6640625" style="40" customWidth="1"/>
    <col min="6" max="6" width="16.6640625" style="31" customWidth="1"/>
    <col min="7" max="7" width="14.5546875" style="31" customWidth="1"/>
    <col min="8" max="8" width="16.6640625" style="31" customWidth="1"/>
    <col min="9" max="9" width="10.6640625" style="37" customWidth="1"/>
    <col min="10" max="11" width="11.33203125" style="29" bestFit="1" customWidth="1"/>
    <col min="12" max="16384" width="9.109375" style="29"/>
  </cols>
  <sheetData>
    <row r="1" spans="1:9" ht="15" customHeight="1" x14ac:dyDescent="0.45">
      <c r="A1" s="1056" t="s">
        <v>574</v>
      </c>
      <c r="B1" s="27"/>
    </row>
    <row r="2" spans="1:9" ht="20.100000000000001" customHeight="1" x14ac:dyDescent="0.45">
      <c r="A2" s="27" t="s">
        <v>511</v>
      </c>
      <c r="B2" s="27"/>
    </row>
    <row r="3" spans="1:9" ht="15" customHeight="1" x14ac:dyDescent="0.3"/>
    <row r="4" spans="1:9" ht="20.100000000000001" customHeight="1" x14ac:dyDescent="0.35">
      <c r="A4" s="39" t="s">
        <v>72</v>
      </c>
      <c r="B4" s="39"/>
    </row>
    <row r="5" spans="1:9" ht="15" customHeight="1" x14ac:dyDescent="0.35">
      <c r="A5" s="39"/>
      <c r="B5" s="39"/>
    </row>
    <row r="6" spans="1:9" ht="15" customHeight="1" thickBot="1" x14ac:dyDescent="0.35">
      <c r="I6" s="32" t="s">
        <v>0</v>
      </c>
    </row>
    <row r="7" spans="1:9" s="47" customFormat="1" ht="20.100000000000001" customHeight="1" x14ac:dyDescent="0.3">
      <c r="A7" s="1062" t="s">
        <v>1</v>
      </c>
      <c r="B7" s="1122"/>
      <c r="C7" s="1060" t="s">
        <v>402</v>
      </c>
      <c r="D7" s="1061"/>
      <c r="E7" s="1060" t="s">
        <v>450</v>
      </c>
      <c r="F7" s="1064"/>
      <c r="G7" s="1061"/>
      <c r="H7" s="1065" t="s">
        <v>507</v>
      </c>
      <c r="I7" s="1077" t="s">
        <v>508</v>
      </c>
    </row>
    <row r="8" spans="1:9" s="47" customFormat="1" ht="35.1" customHeight="1" thickBot="1" x14ac:dyDescent="0.35">
      <c r="A8" s="1063"/>
      <c r="B8" s="1123"/>
      <c r="C8" s="236" t="s">
        <v>103</v>
      </c>
      <c r="D8" s="835" t="s">
        <v>521</v>
      </c>
      <c r="E8" s="236" t="s">
        <v>103</v>
      </c>
      <c r="F8" s="237" t="s">
        <v>556</v>
      </c>
      <c r="G8" s="238" t="s">
        <v>558</v>
      </c>
      <c r="H8" s="1066"/>
      <c r="I8" s="1078"/>
    </row>
    <row r="9" spans="1:9" ht="20.100000000000001" customHeight="1" x14ac:dyDescent="0.3">
      <c r="A9" s="224" t="s">
        <v>49</v>
      </c>
      <c r="B9" s="225"/>
      <c r="C9" s="661">
        <f t="shared" ref="C9:H9" si="0">SUM(C10:C25)</f>
        <v>639500</v>
      </c>
      <c r="D9" s="226">
        <f t="shared" si="0"/>
        <v>556683.31999999995</v>
      </c>
      <c r="E9" s="925">
        <f t="shared" si="0"/>
        <v>489900</v>
      </c>
      <c r="F9" s="657">
        <f t="shared" si="0"/>
        <v>982867.55000000016</v>
      </c>
      <c r="G9" s="657">
        <f t="shared" si="0"/>
        <v>233171.06999999995</v>
      </c>
      <c r="H9" s="741">
        <f t="shared" si="0"/>
        <v>574000</v>
      </c>
      <c r="I9" s="922">
        <f t="shared" ref="I9:I32" si="1">H9/E9*100</f>
        <v>117.16676872831191</v>
      </c>
    </row>
    <row r="10" spans="1:9" s="48" customFormat="1" ht="15" customHeight="1" x14ac:dyDescent="0.3">
      <c r="A10" s="1142" t="s">
        <v>92</v>
      </c>
      <c r="B10" s="227" t="s">
        <v>279</v>
      </c>
      <c r="C10" s="229">
        <v>0</v>
      </c>
      <c r="D10" s="228">
        <v>550</v>
      </c>
      <c r="E10" s="229">
        <v>0</v>
      </c>
      <c r="F10" s="658">
        <v>80</v>
      </c>
      <c r="G10" s="230">
        <v>80</v>
      </c>
      <c r="H10" s="873">
        <v>0</v>
      </c>
      <c r="I10" s="342" t="s">
        <v>58</v>
      </c>
    </row>
    <row r="11" spans="1:9" s="48" customFormat="1" ht="15" customHeight="1" x14ac:dyDescent="0.3">
      <c r="A11" s="1143"/>
      <c r="B11" s="227" t="s">
        <v>271</v>
      </c>
      <c r="C11" s="229">
        <v>61000</v>
      </c>
      <c r="D11" s="228">
        <v>30228.18</v>
      </c>
      <c r="E11" s="229">
        <v>61000</v>
      </c>
      <c r="F11" s="658">
        <v>82844.990000000005</v>
      </c>
      <c r="G11" s="230">
        <v>2954.43</v>
      </c>
      <c r="H11" s="873">
        <v>60000</v>
      </c>
      <c r="I11" s="342">
        <f t="shared" si="1"/>
        <v>98.360655737704917</v>
      </c>
    </row>
    <row r="12" spans="1:9" s="48" customFormat="1" ht="15" customHeight="1" x14ac:dyDescent="0.3">
      <c r="A12" s="1143"/>
      <c r="B12" s="227" t="s">
        <v>219</v>
      </c>
      <c r="C12" s="229">
        <v>30000</v>
      </c>
      <c r="D12" s="228">
        <v>34559.24</v>
      </c>
      <c r="E12" s="229">
        <v>30000</v>
      </c>
      <c r="F12" s="658">
        <v>41136.550000000003</v>
      </c>
      <c r="G12" s="230">
        <v>32618.59</v>
      </c>
      <c r="H12" s="873">
        <v>39800</v>
      </c>
      <c r="I12" s="342">
        <f t="shared" si="1"/>
        <v>132.66666666666666</v>
      </c>
    </row>
    <row r="13" spans="1:9" s="48" customFormat="1" ht="15" customHeight="1" x14ac:dyDescent="0.3">
      <c r="A13" s="1143"/>
      <c r="B13" s="227" t="s">
        <v>231</v>
      </c>
      <c r="C13" s="229">
        <v>10000</v>
      </c>
      <c r="D13" s="228">
        <v>10937.25</v>
      </c>
      <c r="E13" s="229">
        <v>10000</v>
      </c>
      <c r="F13" s="658">
        <v>22518.3</v>
      </c>
      <c r="G13" s="230">
        <v>2412</v>
      </c>
      <c r="H13" s="873">
        <v>20000</v>
      </c>
      <c r="I13" s="342">
        <f t="shared" si="1"/>
        <v>200</v>
      </c>
    </row>
    <row r="14" spans="1:9" s="48" customFormat="1" ht="15" customHeight="1" x14ac:dyDescent="0.3">
      <c r="A14" s="1143"/>
      <c r="B14" s="227" t="s">
        <v>288</v>
      </c>
      <c r="C14" s="229">
        <v>6000</v>
      </c>
      <c r="D14" s="228">
        <v>20507.87</v>
      </c>
      <c r="E14" s="229">
        <v>6000</v>
      </c>
      <c r="F14" s="658">
        <v>6096.77</v>
      </c>
      <c r="G14" s="230">
        <v>96.78</v>
      </c>
      <c r="H14" s="873">
        <v>30000</v>
      </c>
      <c r="I14" s="342">
        <f t="shared" si="1"/>
        <v>500</v>
      </c>
    </row>
    <row r="15" spans="1:9" s="48" customFormat="1" ht="15" customHeight="1" x14ac:dyDescent="0.3">
      <c r="A15" s="1143"/>
      <c r="B15" s="227" t="s">
        <v>76</v>
      </c>
      <c r="C15" s="229">
        <v>0</v>
      </c>
      <c r="D15" s="228">
        <v>6297.12</v>
      </c>
      <c r="E15" s="229">
        <v>0</v>
      </c>
      <c r="F15" s="658">
        <v>7285.25</v>
      </c>
      <c r="G15" s="230">
        <v>7248.57</v>
      </c>
      <c r="H15" s="873">
        <v>5000</v>
      </c>
      <c r="I15" s="342" t="s">
        <v>58</v>
      </c>
    </row>
    <row r="16" spans="1:9" s="48" customFormat="1" ht="15" customHeight="1" x14ac:dyDescent="0.3">
      <c r="A16" s="1143"/>
      <c r="B16" s="227" t="s">
        <v>330</v>
      </c>
      <c r="C16" s="229">
        <v>54000</v>
      </c>
      <c r="D16" s="228">
        <v>38616</v>
      </c>
      <c r="E16" s="229">
        <v>65000</v>
      </c>
      <c r="F16" s="658">
        <v>203187.14</v>
      </c>
      <c r="G16" s="230">
        <v>22133.64</v>
      </c>
      <c r="H16" s="873">
        <v>65000</v>
      </c>
      <c r="I16" s="342">
        <f t="shared" si="1"/>
        <v>100</v>
      </c>
    </row>
    <row r="17" spans="1:11" s="48" customFormat="1" ht="15" customHeight="1" x14ac:dyDescent="0.3">
      <c r="A17" s="1143"/>
      <c r="B17" s="227" t="s">
        <v>77</v>
      </c>
      <c r="C17" s="229">
        <v>243000</v>
      </c>
      <c r="D17" s="228">
        <v>133280.57</v>
      </c>
      <c r="E17" s="229">
        <v>70000</v>
      </c>
      <c r="F17" s="658">
        <v>202765.38</v>
      </c>
      <c r="G17" s="230">
        <v>98137.65</v>
      </c>
      <c r="H17" s="873">
        <v>80000</v>
      </c>
      <c r="I17" s="342">
        <f t="shared" si="1"/>
        <v>114.28571428571428</v>
      </c>
    </row>
    <row r="18" spans="1:11" s="48" customFormat="1" ht="15" customHeight="1" x14ac:dyDescent="0.3">
      <c r="A18" s="1143"/>
      <c r="B18" s="227" t="s">
        <v>207</v>
      </c>
      <c r="C18" s="229">
        <v>0</v>
      </c>
      <c r="D18" s="228">
        <v>12000</v>
      </c>
      <c r="E18" s="229">
        <v>12000</v>
      </c>
      <c r="F18" s="659">
        <v>32000</v>
      </c>
      <c r="G18" s="825">
        <v>16000</v>
      </c>
      <c r="H18" s="873">
        <v>0</v>
      </c>
      <c r="I18" s="342">
        <f t="shared" si="1"/>
        <v>0</v>
      </c>
    </row>
    <row r="19" spans="1:11" s="48" customFormat="1" ht="15" customHeight="1" x14ac:dyDescent="0.3">
      <c r="A19" s="1143"/>
      <c r="B19" s="227" t="s">
        <v>553</v>
      </c>
      <c r="C19" s="229">
        <v>10000</v>
      </c>
      <c r="D19" s="228">
        <v>14267.94</v>
      </c>
      <c r="E19" s="229">
        <v>10000</v>
      </c>
      <c r="F19" s="659">
        <v>51138.44</v>
      </c>
      <c r="G19" s="318">
        <v>8605.24</v>
      </c>
      <c r="H19" s="873">
        <v>19000</v>
      </c>
      <c r="I19" s="342">
        <f t="shared" si="1"/>
        <v>190</v>
      </c>
    </row>
    <row r="20" spans="1:11" s="48" customFormat="1" ht="15" customHeight="1" x14ac:dyDescent="0.3">
      <c r="A20" s="1143"/>
      <c r="B20" s="227" t="s">
        <v>260</v>
      </c>
      <c r="C20" s="229">
        <v>0</v>
      </c>
      <c r="D20" s="228">
        <v>600</v>
      </c>
      <c r="E20" s="229">
        <v>0</v>
      </c>
      <c r="F20" s="659">
        <v>4150.68</v>
      </c>
      <c r="G20" s="318">
        <v>0</v>
      </c>
      <c r="H20" s="873">
        <v>0</v>
      </c>
      <c r="I20" s="342" t="s">
        <v>58</v>
      </c>
    </row>
    <row r="21" spans="1:11" s="48" customFormat="1" ht="15" customHeight="1" x14ac:dyDescent="0.3">
      <c r="A21" s="1143"/>
      <c r="B21" s="227" t="s">
        <v>232</v>
      </c>
      <c r="C21" s="229">
        <v>20000</v>
      </c>
      <c r="D21" s="228">
        <v>27499.8</v>
      </c>
      <c r="E21" s="229">
        <v>20000</v>
      </c>
      <c r="F21" s="658">
        <v>31741.96</v>
      </c>
      <c r="G21" s="230">
        <v>1110</v>
      </c>
      <c r="H21" s="873">
        <v>30000</v>
      </c>
      <c r="I21" s="342">
        <f t="shared" si="1"/>
        <v>150</v>
      </c>
    </row>
    <row r="22" spans="1:11" s="48" customFormat="1" ht="15" customHeight="1" x14ac:dyDescent="0.3">
      <c r="A22" s="1143"/>
      <c r="B22" s="227" t="s">
        <v>331</v>
      </c>
      <c r="C22" s="229">
        <v>121000</v>
      </c>
      <c r="D22" s="228">
        <v>167166.94</v>
      </c>
      <c r="E22" s="229">
        <v>121000</v>
      </c>
      <c r="F22" s="658">
        <v>178445.67</v>
      </c>
      <c r="G22" s="230">
        <v>17672.349999999999</v>
      </c>
      <c r="H22" s="873">
        <v>136000</v>
      </c>
      <c r="I22" s="342">
        <f t="shared" si="1"/>
        <v>112.39669421487604</v>
      </c>
    </row>
    <row r="23" spans="1:11" s="48" customFormat="1" ht="15" customHeight="1" x14ac:dyDescent="0.3">
      <c r="A23" s="1143"/>
      <c r="B23" s="826" t="s">
        <v>220</v>
      </c>
      <c r="C23" s="229">
        <v>1500</v>
      </c>
      <c r="D23" s="228">
        <v>1802.98</v>
      </c>
      <c r="E23" s="229">
        <v>3000</v>
      </c>
      <c r="F23" s="658">
        <v>4813.62</v>
      </c>
      <c r="G23" s="230">
        <v>4523.62</v>
      </c>
      <c r="H23" s="873">
        <v>7300</v>
      </c>
      <c r="I23" s="342">
        <f>H23/E23*100</f>
        <v>243.33333333333331</v>
      </c>
    </row>
    <row r="24" spans="1:11" s="48" customFormat="1" ht="15" customHeight="1" x14ac:dyDescent="0.3">
      <c r="A24" s="1143"/>
      <c r="B24" s="227" t="s">
        <v>19</v>
      </c>
      <c r="C24" s="229">
        <v>61000</v>
      </c>
      <c r="D24" s="228">
        <v>58369.43</v>
      </c>
      <c r="E24" s="229">
        <v>59900</v>
      </c>
      <c r="F24" s="658">
        <v>67662.8</v>
      </c>
      <c r="G24" s="230">
        <v>16325.87</v>
      </c>
      <c r="H24" s="873">
        <v>59900</v>
      </c>
      <c r="I24" s="342">
        <f t="shared" si="1"/>
        <v>100</v>
      </c>
    </row>
    <row r="25" spans="1:11" s="48" customFormat="1" ht="15" customHeight="1" x14ac:dyDescent="0.3">
      <c r="A25" s="1144"/>
      <c r="B25" s="227" t="s">
        <v>263</v>
      </c>
      <c r="C25" s="229">
        <v>22000</v>
      </c>
      <c r="D25" s="228">
        <v>0</v>
      </c>
      <c r="E25" s="229">
        <v>22000</v>
      </c>
      <c r="F25" s="658">
        <v>47000</v>
      </c>
      <c r="G25" s="230">
        <v>3252.33</v>
      </c>
      <c r="H25" s="873">
        <v>22000</v>
      </c>
      <c r="I25" s="342">
        <f t="shared" si="1"/>
        <v>100</v>
      </c>
    </row>
    <row r="26" spans="1:11" ht="29.25" customHeight="1" x14ac:dyDescent="0.3">
      <c r="A26" s="1140" t="s">
        <v>391</v>
      </c>
      <c r="B26" s="1141"/>
      <c r="C26" s="231">
        <v>40000</v>
      </c>
      <c r="D26" s="232">
        <v>293683.96000000002</v>
      </c>
      <c r="E26" s="231">
        <v>40000</v>
      </c>
      <c r="F26" s="233">
        <v>374451.12</v>
      </c>
      <c r="G26" s="232">
        <v>182305.5</v>
      </c>
      <c r="H26" s="874">
        <f>+'Sumář příjmů a výdajů'!G52</f>
        <v>50000</v>
      </c>
      <c r="I26" s="164">
        <f t="shared" si="1"/>
        <v>125</v>
      </c>
      <c r="J26" s="31"/>
    </row>
    <row r="27" spans="1:11" ht="29.25" customHeight="1" x14ac:dyDescent="0.3">
      <c r="A27" s="1140" t="s">
        <v>281</v>
      </c>
      <c r="B27" s="1141"/>
      <c r="C27" s="231">
        <v>925000</v>
      </c>
      <c r="D27" s="232">
        <v>1891409.61</v>
      </c>
      <c r="E27" s="231">
        <v>1170000</v>
      </c>
      <c r="F27" s="233">
        <v>2628325.0299999998</v>
      </c>
      <c r="G27" s="233">
        <v>834068.33</v>
      </c>
      <c r="H27" s="874">
        <f>+'Sumář příjmů a výdajů'!G53</f>
        <v>960000</v>
      </c>
      <c r="I27" s="164">
        <f t="shared" si="1"/>
        <v>82.051282051282044</v>
      </c>
      <c r="J27" s="31"/>
    </row>
    <row r="28" spans="1:11" ht="30" customHeight="1" x14ac:dyDescent="0.3">
      <c r="A28" s="1140" t="s">
        <v>282</v>
      </c>
      <c r="B28" s="1141"/>
      <c r="C28" s="231">
        <v>951491</v>
      </c>
      <c r="D28" s="232">
        <v>803615.51</v>
      </c>
      <c r="E28" s="231">
        <v>157390</v>
      </c>
      <c r="F28" s="233">
        <v>390336.23</v>
      </c>
      <c r="G28" s="550">
        <v>102695.15</v>
      </c>
      <c r="H28" s="874">
        <v>0</v>
      </c>
      <c r="I28" s="164">
        <f t="shared" si="1"/>
        <v>0</v>
      </c>
      <c r="J28" s="31"/>
    </row>
    <row r="29" spans="1:11" ht="30" customHeight="1" x14ac:dyDescent="0.3">
      <c r="A29" s="1140" t="s">
        <v>341</v>
      </c>
      <c r="B29" s="1141"/>
      <c r="C29" s="231">
        <v>1245080</v>
      </c>
      <c r="D29" s="232">
        <v>1076903.3400000001</v>
      </c>
      <c r="E29" s="231">
        <v>1481600</v>
      </c>
      <c r="F29" s="233">
        <v>2942718.71</v>
      </c>
      <c r="G29" s="232">
        <v>787490.4</v>
      </c>
      <c r="H29" s="874">
        <v>1793300</v>
      </c>
      <c r="I29" s="164">
        <f t="shared" si="1"/>
        <v>121.03806695464363</v>
      </c>
      <c r="J29" s="294"/>
      <c r="K29" s="294"/>
    </row>
    <row r="30" spans="1:11" ht="30" customHeight="1" x14ac:dyDescent="0.3">
      <c r="A30" s="1140" t="s">
        <v>342</v>
      </c>
      <c r="B30" s="1141"/>
      <c r="C30" s="231">
        <v>54535</v>
      </c>
      <c r="D30" s="232">
        <v>3243.66</v>
      </c>
      <c r="E30" s="231">
        <v>151038</v>
      </c>
      <c r="F30" s="233">
        <v>151038</v>
      </c>
      <c r="G30" s="232">
        <v>481.27</v>
      </c>
      <c r="H30" s="874">
        <v>0</v>
      </c>
      <c r="I30" s="164">
        <f t="shared" si="1"/>
        <v>0</v>
      </c>
      <c r="J30" s="31"/>
      <c r="K30" s="70"/>
    </row>
    <row r="31" spans="1:11" ht="32.25" customHeight="1" x14ac:dyDescent="0.3">
      <c r="A31" s="1140" t="s">
        <v>95</v>
      </c>
      <c r="B31" s="1141"/>
      <c r="C31" s="231">
        <v>174837</v>
      </c>
      <c r="D31" s="232">
        <v>108205.81</v>
      </c>
      <c r="E31" s="231">
        <v>377000</v>
      </c>
      <c r="F31" s="233">
        <v>476163.95</v>
      </c>
      <c r="G31" s="232">
        <v>130871.62</v>
      </c>
      <c r="H31" s="874">
        <v>500500</v>
      </c>
      <c r="I31" s="164">
        <f t="shared" si="1"/>
        <v>132.75862068965517</v>
      </c>
      <c r="J31" s="294"/>
      <c r="K31" s="294"/>
    </row>
    <row r="32" spans="1:11" ht="20.100000000000001" customHeight="1" x14ac:dyDescent="0.3">
      <c r="A32" s="1140" t="s">
        <v>71</v>
      </c>
      <c r="B32" s="1141"/>
      <c r="C32" s="231">
        <v>191105</v>
      </c>
      <c r="D32" s="232">
        <v>190457.59</v>
      </c>
      <c r="E32" s="231">
        <v>120546</v>
      </c>
      <c r="F32" s="233">
        <v>120546</v>
      </c>
      <c r="G32" s="232">
        <v>110888</v>
      </c>
      <c r="H32" s="874">
        <v>0</v>
      </c>
      <c r="I32" s="164">
        <f t="shared" si="1"/>
        <v>0</v>
      </c>
    </row>
    <row r="33" spans="1:9" ht="20.100000000000001" customHeight="1" thickBot="1" x14ac:dyDescent="0.35">
      <c r="A33" s="1140" t="s">
        <v>70</v>
      </c>
      <c r="B33" s="1141"/>
      <c r="C33" s="662">
        <v>0</v>
      </c>
      <c r="D33" s="234">
        <v>1537368.48</v>
      </c>
      <c r="E33" s="662">
        <v>0</v>
      </c>
      <c r="F33" s="660">
        <v>1487732.1</v>
      </c>
      <c r="G33" s="234">
        <v>638060.68000000005</v>
      </c>
      <c r="H33" s="198">
        <v>0</v>
      </c>
      <c r="I33" s="164" t="s">
        <v>58</v>
      </c>
    </row>
    <row r="34" spans="1:9" s="99" customFormat="1" ht="30" customHeight="1" thickBot="1" x14ac:dyDescent="0.3">
      <c r="A34" s="607" t="s">
        <v>75</v>
      </c>
      <c r="B34" s="607"/>
      <c r="C34" s="243">
        <f t="shared" ref="C34:H34" si="2">C9+SUM(C26:C33)</f>
        <v>4221548</v>
      </c>
      <c r="D34" s="608">
        <f t="shared" si="2"/>
        <v>6461571.2800000012</v>
      </c>
      <c r="E34" s="243">
        <f t="shared" si="2"/>
        <v>3987474</v>
      </c>
      <c r="F34" s="246">
        <f t="shared" si="2"/>
        <v>9554178.6900000013</v>
      </c>
      <c r="G34" s="608">
        <f t="shared" si="2"/>
        <v>3020032.02</v>
      </c>
      <c r="H34" s="199">
        <f t="shared" si="2"/>
        <v>3877800</v>
      </c>
      <c r="I34" s="344">
        <f>H34/E34*100</f>
        <v>97.24953692488026</v>
      </c>
    </row>
    <row r="36" spans="1:9" x14ac:dyDescent="0.3">
      <c r="E36" s="31"/>
    </row>
    <row r="37" spans="1:9" x14ac:dyDescent="0.3">
      <c r="E37" s="31"/>
    </row>
    <row r="38" spans="1:9" x14ac:dyDescent="0.3">
      <c r="E38" s="223"/>
    </row>
  </sheetData>
  <mergeCells count="14">
    <mergeCell ref="E7:G7"/>
    <mergeCell ref="H7:H8"/>
    <mergeCell ref="I7:I8"/>
    <mergeCell ref="A7:B8"/>
    <mergeCell ref="A10:A25"/>
    <mergeCell ref="A30:B30"/>
    <mergeCell ref="A31:B31"/>
    <mergeCell ref="A32:B32"/>
    <mergeCell ref="A33:B33"/>
    <mergeCell ref="C7:D7"/>
    <mergeCell ref="A26:B26"/>
    <mergeCell ref="A27:B27"/>
    <mergeCell ref="A29:B29"/>
    <mergeCell ref="A28:B28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53" fitToHeight="0" orientation="portrait" r:id="rId1"/>
  <ignoredErrors>
    <ignoredError sqref="E34:G34 C34:D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411"/>
  <sheetViews>
    <sheetView workbookViewId="0">
      <selection activeCell="C1" sqref="C1"/>
    </sheetView>
  </sheetViews>
  <sheetFormatPr defaultColWidth="9.109375" defaultRowHeight="13.8" x14ac:dyDescent="0.25"/>
  <cols>
    <col min="1" max="1" width="10.6640625" style="606" customWidth="1"/>
    <col min="2" max="2" width="10.6640625" style="597" customWidth="1"/>
    <col min="3" max="3" width="99.109375" style="293" customWidth="1"/>
    <col min="4" max="4" width="20.6640625" style="293" customWidth="1"/>
    <col min="5" max="5" width="9.109375" style="70"/>
    <col min="6" max="6" width="9.109375" style="70" customWidth="1"/>
    <col min="7" max="16384" width="9.109375" style="70"/>
  </cols>
  <sheetData>
    <row r="1" spans="1:4" ht="15" customHeight="1" x14ac:dyDescent="0.25">
      <c r="C1" s="293" t="s">
        <v>574</v>
      </c>
    </row>
    <row r="2" spans="1:4" ht="23.4" x14ac:dyDescent="0.25">
      <c r="A2" s="598" t="s">
        <v>511</v>
      </c>
    </row>
    <row r="3" spans="1:4" ht="15" customHeight="1" x14ac:dyDescent="0.25"/>
    <row r="4" spans="1:4" ht="20.100000000000001" customHeight="1" x14ac:dyDescent="0.25">
      <c r="A4" s="599" t="s">
        <v>314</v>
      </c>
    </row>
    <row r="5" spans="1:4" ht="15" customHeight="1" x14ac:dyDescent="0.25">
      <c r="A5" s="599"/>
    </row>
    <row r="6" spans="1:4" ht="15" customHeight="1" thickBot="1" x14ac:dyDescent="0.3">
      <c r="D6" s="510" t="s">
        <v>0</v>
      </c>
    </row>
    <row r="7" spans="1:4" ht="35.1" customHeight="1" thickBot="1" x14ac:dyDescent="0.3">
      <c r="A7" s="210" t="s">
        <v>25</v>
      </c>
      <c r="B7" s="211" t="s">
        <v>85</v>
      </c>
      <c r="C7" s="605" t="s">
        <v>87</v>
      </c>
      <c r="D7" s="212" t="s">
        <v>512</v>
      </c>
    </row>
    <row r="8" spans="1:4" ht="35.1" customHeight="1" x14ac:dyDescent="0.25">
      <c r="A8" s="600" t="s">
        <v>67</v>
      </c>
      <c r="B8" s="601" t="s">
        <v>320</v>
      </c>
      <c r="C8" s="647" t="s">
        <v>545</v>
      </c>
      <c r="D8" s="741">
        <v>25000</v>
      </c>
    </row>
    <row r="9" spans="1:4" ht="30" customHeight="1" x14ac:dyDescent="0.25">
      <c r="A9" s="600" t="s">
        <v>22</v>
      </c>
      <c r="B9" s="601" t="s">
        <v>329</v>
      </c>
      <c r="C9" s="720" t="s">
        <v>389</v>
      </c>
      <c r="D9" s="741">
        <v>20000</v>
      </c>
    </row>
    <row r="10" spans="1:4" ht="20.25" customHeight="1" thickBot="1" x14ac:dyDescent="0.3">
      <c r="A10" s="600" t="s">
        <v>212</v>
      </c>
      <c r="B10" s="601" t="s">
        <v>318</v>
      </c>
      <c r="C10" s="602" t="s">
        <v>324</v>
      </c>
      <c r="D10" s="741">
        <v>5000</v>
      </c>
    </row>
    <row r="11" spans="1:4" s="99" customFormat="1" ht="30.75" customHeight="1" thickBot="1" x14ac:dyDescent="0.3">
      <c r="A11" s="1145" t="s">
        <v>317</v>
      </c>
      <c r="B11" s="1146"/>
      <c r="C11" s="1146"/>
      <c r="D11" s="199">
        <f>SUM(D8:D10)</f>
        <v>50000</v>
      </c>
    </row>
    <row r="411" spans="1:2" s="293" customFormat="1" x14ac:dyDescent="0.25">
      <c r="A411" s="603"/>
      <c r="B411" s="597"/>
    </row>
  </sheetData>
  <mergeCells count="1">
    <mergeCell ref="A11:C11"/>
  </mergeCells>
  <pageMargins left="0.70866141732283472" right="0.70866141732283472" top="0.78740157480314965" bottom="0.78740157480314965" header="0.31496062992125984" footer="0.31496062992125984"/>
  <pageSetup paperSize="9" scale="63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414"/>
  <sheetViews>
    <sheetView workbookViewId="0">
      <selection activeCell="H11" sqref="H11"/>
    </sheetView>
  </sheetViews>
  <sheetFormatPr defaultColWidth="9.109375" defaultRowHeight="13.8" x14ac:dyDescent="0.3"/>
  <cols>
    <col min="1" max="1" width="10.6640625" style="47" customWidth="1"/>
    <col min="2" max="2" width="10.6640625" style="49" customWidth="1"/>
    <col min="3" max="3" width="88.6640625" style="40" customWidth="1"/>
    <col min="4" max="4" width="20.6640625" style="40" customWidth="1"/>
    <col min="5" max="5" width="9.6640625" style="29" bestFit="1" customWidth="1"/>
    <col min="6" max="6" width="9.109375" style="29" customWidth="1"/>
    <col min="7" max="16384" width="9.109375" style="29"/>
  </cols>
  <sheetData>
    <row r="1" spans="1:6" ht="15" customHeight="1" x14ac:dyDescent="0.3">
      <c r="C1" s="40" t="s">
        <v>574</v>
      </c>
    </row>
    <row r="2" spans="1:6" ht="23.4" x14ac:dyDescent="0.45">
      <c r="A2" s="30" t="s">
        <v>511</v>
      </c>
    </row>
    <row r="3" spans="1:6" ht="15" customHeight="1" x14ac:dyDescent="0.3"/>
    <row r="4" spans="1:6" ht="20.100000000000001" customHeight="1" x14ac:dyDescent="0.35">
      <c r="A4" s="157" t="s">
        <v>217</v>
      </c>
    </row>
    <row r="5" spans="1:6" ht="15" customHeight="1" x14ac:dyDescent="0.35">
      <c r="A5" s="157"/>
    </row>
    <row r="6" spans="1:6" ht="15" customHeight="1" thickBot="1" x14ac:dyDescent="0.35">
      <c r="D6" s="45" t="s">
        <v>0</v>
      </c>
    </row>
    <row r="7" spans="1:6" s="70" customFormat="1" ht="35.1" customHeight="1" thickBot="1" x14ac:dyDescent="0.3">
      <c r="A7" s="210" t="s">
        <v>25</v>
      </c>
      <c r="B7" s="211" t="s">
        <v>85</v>
      </c>
      <c r="C7" s="605" t="s">
        <v>87</v>
      </c>
      <c r="D7" s="212" t="s">
        <v>512</v>
      </c>
    </row>
    <row r="8" spans="1:6" s="70" customFormat="1" ht="15.9" customHeight="1" x14ac:dyDescent="0.25">
      <c r="A8" s="893" t="s">
        <v>88</v>
      </c>
      <c r="B8" s="601" t="s">
        <v>550</v>
      </c>
      <c r="C8" s="647" t="s">
        <v>549</v>
      </c>
      <c r="D8" s="742">
        <v>901</v>
      </c>
      <c r="E8" s="952"/>
      <c r="F8" s="953"/>
    </row>
    <row r="9" spans="1:6" s="70" customFormat="1" ht="15.9" customHeight="1" x14ac:dyDescent="0.25">
      <c r="A9" s="582" t="s">
        <v>22</v>
      </c>
      <c r="B9" s="588" t="s">
        <v>329</v>
      </c>
      <c r="C9" s="694" t="s">
        <v>552</v>
      </c>
      <c r="D9" s="742">
        <v>1200</v>
      </c>
      <c r="E9" s="952"/>
      <c r="F9" s="953"/>
    </row>
    <row r="10" spans="1:6" s="70" customFormat="1" ht="15.9" customHeight="1" x14ac:dyDescent="0.25">
      <c r="A10" s="893" t="s">
        <v>522</v>
      </c>
      <c r="B10" s="588" t="s">
        <v>547</v>
      </c>
      <c r="C10" s="930" t="s">
        <v>546</v>
      </c>
      <c r="D10" s="742">
        <v>200000</v>
      </c>
      <c r="F10" s="849"/>
    </row>
    <row r="11" spans="1:6" s="70" customFormat="1" ht="32.25" customHeight="1" thickBot="1" x14ac:dyDescent="0.3">
      <c r="A11" s="890" t="s">
        <v>262</v>
      </c>
      <c r="B11" s="931" t="s">
        <v>551</v>
      </c>
      <c r="C11" s="954" t="s">
        <v>567</v>
      </c>
      <c r="D11" s="742">
        <v>20000</v>
      </c>
    </row>
    <row r="12" spans="1:6" s="99" customFormat="1" ht="30.75" customHeight="1" thickBot="1" x14ac:dyDescent="0.3">
      <c r="A12" s="1145" t="s">
        <v>221</v>
      </c>
      <c r="B12" s="1146"/>
      <c r="C12" s="1146"/>
      <c r="D12" s="199">
        <f>SUM(D8:D11)</f>
        <v>222101</v>
      </c>
    </row>
    <row r="15" spans="1:6" ht="14.25" customHeight="1" x14ac:dyDescent="0.3">
      <c r="A15" s="50"/>
      <c r="B15" s="29"/>
      <c r="C15" s="29"/>
      <c r="D15" s="29"/>
    </row>
    <row r="414" spans="1:2" s="40" customFormat="1" x14ac:dyDescent="0.3">
      <c r="A414" s="51"/>
      <c r="B414" s="49"/>
    </row>
  </sheetData>
  <sortState xmlns:xlrd2="http://schemas.microsoft.com/office/spreadsheetml/2017/richdata2" ref="A8:D11">
    <sortCondition ref="A8:A11"/>
  </sortState>
  <mergeCells count="1">
    <mergeCell ref="A12:C12"/>
  </mergeCells>
  <pageMargins left="0.51181102362204722" right="0.11811023622047245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34</vt:i4>
      </vt:variant>
      <vt:variant>
        <vt:lpstr>Pojmenované oblasti</vt:lpstr>
      </vt:variant>
      <vt:variant>
        <vt:i4>10</vt:i4>
      </vt:variant>
    </vt:vector>
  </HeadingPairs>
  <TitlesOfParts>
    <vt:vector size="44" baseType="lpstr">
      <vt:lpstr>Úvodní strana</vt:lpstr>
      <vt:lpstr>Bilance</vt:lpstr>
      <vt:lpstr>Sumář příjmů a výdajů</vt:lpstr>
      <vt:lpstr>Fondy</vt:lpstr>
      <vt:lpstr>Projekty EU a NZ</vt:lpstr>
      <vt:lpstr>Dluhová služba </vt:lpstr>
      <vt:lpstr>Kapitálové výdaje </vt:lpstr>
      <vt:lpstr>Kapitálové výdaje v kapitolách</vt:lpstr>
      <vt:lpstr>Specifické rezervy</vt:lpstr>
      <vt:lpstr>Příspěvky PO</vt:lpstr>
      <vt:lpstr>Běžné výdaje kapitol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13</vt:lpstr>
      <vt:lpstr>14</vt:lpstr>
      <vt:lpstr>15</vt:lpstr>
      <vt:lpstr>16</vt:lpstr>
      <vt:lpstr>17</vt:lpstr>
      <vt:lpstr>18</vt:lpstr>
      <vt:lpstr>23</vt:lpstr>
      <vt:lpstr>24</vt:lpstr>
      <vt:lpstr>25</vt:lpstr>
      <vt:lpstr>26</vt:lpstr>
      <vt:lpstr>27</vt:lpstr>
      <vt:lpstr>Kapitoly - shrnutí BV</vt:lpstr>
      <vt:lpstr>'05'!Názvy_tisku</vt:lpstr>
      <vt:lpstr>'06'!Názvy_tisku</vt:lpstr>
      <vt:lpstr>'08'!Názvy_tisku</vt:lpstr>
      <vt:lpstr>'09'!Názvy_tisku</vt:lpstr>
      <vt:lpstr>'11'!Názvy_tisku</vt:lpstr>
      <vt:lpstr>'13'!Názvy_tisku</vt:lpstr>
      <vt:lpstr>'17'!Názvy_tisku</vt:lpstr>
      <vt:lpstr>'26'!Názvy_tisku</vt:lpstr>
      <vt:lpstr>'Příspěvky PO'!Názvy_tisku</vt:lpstr>
      <vt:lpstr>'Sumář příjmů a výdajů'!Názvy_tisku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Oršulová Kristýna</cp:lastModifiedBy>
  <cp:lastPrinted>2025-12-08T14:51:34Z</cp:lastPrinted>
  <dcterms:created xsi:type="dcterms:W3CDTF">2014-09-16T07:52:57Z</dcterms:created>
  <dcterms:modified xsi:type="dcterms:W3CDTF">2025-12-08T14:51:37Z</dcterms:modified>
</cp:coreProperties>
</file>